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<sst xmlns="http://schemas.openxmlformats.org/spreadsheetml/2006/main" count="570" uniqueCount="315">
  <si>
    <t>Ground level at STP Site at Inlet chamber</t>
  </si>
  <si>
    <t>Mtr</t>
  </si>
  <si>
    <t>Average Flow</t>
  </si>
  <si>
    <t>MLD</t>
  </si>
  <si>
    <t>Minimum Flow</t>
  </si>
  <si>
    <t>M3/sec</t>
  </si>
  <si>
    <t>Volume required</t>
  </si>
  <si>
    <t>Liquid depth taken</t>
  </si>
  <si>
    <t>Area</t>
  </si>
  <si>
    <t>Width</t>
  </si>
  <si>
    <t>DESIGN OF COARSE SCREEN</t>
  </si>
  <si>
    <t>Peak Flow</t>
  </si>
  <si>
    <t>mm</t>
  </si>
  <si>
    <t>Mtr.</t>
  </si>
  <si>
    <t>velocity through screen</t>
  </si>
  <si>
    <t>M/sec</t>
  </si>
  <si>
    <t>Area of screen</t>
  </si>
  <si>
    <t>M2</t>
  </si>
  <si>
    <t>Angle of inclination with the horizontal</t>
  </si>
  <si>
    <t>degree</t>
  </si>
  <si>
    <t>Width of opening</t>
  </si>
  <si>
    <t>mtr</t>
  </si>
  <si>
    <t>No of opening</t>
  </si>
  <si>
    <t>nos</t>
  </si>
  <si>
    <t>Number of bars</t>
  </si>
  <si>
    <t>Let width of each bar be</t>
  </si>
  <si>
    <t>mmx75 mm</t>
  </si>
  <si>
    <t>Total width of channel</t>
  </si>
  <si>
    <t>Let width of each side be</t>
  </si>
  <si>
    <t>mtr.</t>
  </si>
  <si>
    <t>Nos</t>
  </si>
  <si>
    <t>lps</t>
  </si>
  <si>
    <t>KW</t>
  </si>
  <si>
    <t>Say</t>
  </si>
  <si>
    <t>DESIGN OF FINE SCREEN</t>
  </si>
  <si>
    <t xml:space="preserve">Peak Flow </t>
  </si>
  <si>
    <t>Nos of screen(Each for handling peak flow)</t>
  </si>
  <si>
    <t>Depth of flow taken</t>
  </si>
  <si>
    <t xml:space="preserve">Angle of inclination with the horizontal </t>
  </si>
  <si>
    <t>Clear opening between adjacent bars of screen</t>
  </si>
  <si>
    <t>Bars thickness of screen</t>
  </si>
  <si>
    <t>Taking width of screen</t>
  </si>
  <si>
    <t>Nos of opening will be</t>
  </si>
  <si>
    <t>Nos of bars(10 mm thickness)</t>
  </si>
  <si>
    <t>say</t>
  </si>
  <si>
    <t>DESIGN OF GRIT CHAMBER</t>
  </si>
  <si>
    <t>GRIT REMOVAL SYSTEM</t>
  </si>
  <si>
    <t>Two grit removal tank (1 w +1 S) each capable of handling peak flow, will be provided. They are designed to remove grit particle of size of 0.15 mm size and above with a specific gravity of 2.3</t>
  </si>
  <si>
    <t>Q/A--Design surface overflow rate applicable for grit chamber to be designed</t>
  </si>
  <si>
    <t>n-an index which a measure of the basin performance</t>
  </si>
  <si>
    <t>Here η value taken</t>
  </si>
  <si>
    <t>%</t>
  </si>
  <si>
    <t>Here n value taken-1/8(for very good performance)</t>
  </si>
  <si>
    <t>Then design overflow rate</t>
  </si>
  <si>
    <t>Hence area required for peak flow</t>
  </si>
  <si>
    <t>Each side of square grit chamber</t>
  </si>
  <si>
    <t>Detention time taken is</t>
  </si>
  <si>
    <t>minute</t>
  </si>
  <si>
    <t>Depth of tank will be</t>
  </si>
  <si>
    <t>However in order to provide adequate depth for the grit scraping mechanism, increase to</t>
  </si>
  <si>
    <t>This gives detention time is</t>
  </si>
  <si>
    <t>Hence size of grit removal chamber is</t>
  </si>
  <si>
    <t>DESIGN OF CHANNEL FROM GRIT CHAMBER TO DISTRIBUTION CHAMBER</t>
  </si>
  <si>
    <t>Peak flow</t>
  </si>
  <si>
    <t>velocity taken</t>
  </si>
  <si>
    <t>Area required</t>
  </si>
  <si>
    <t>Depth taken</t>
  </si>
  <si>
    <t>Then width of channel will be</t>
  </si>
  <si>
    <t>DESIGN OF ANAEROBIC POND</t>
  </si>
  <si>
    <t>Volume of anaerobic pond V=Li xQ/λ</t>
  </si>
  <si>
    <t>Li-Raw sewage BOD(1000 XB/q)</t>
  </si>
  <si>
    <t>mg/l</t>
  </si>
  <si>
    <t>Q- average flow</t>
  </si>
  <si>
    <t>λ- volumetric BOD loading(Range between 100-400 gm/m3/day)</t>
  </si>
  <si>
    <t>λ=20T-100(as per MEAFNRCD)</t>
  </si>
  <si>
    <t>hence λ is</t>
  </si>
  <si>
    <t>gm/m3/day</t>
  </si>
  <si>
    <t>Hence Volume of tank(V)</t>
  </si>
  <si>
    <t>Detention time</t>
  </si>
  <si>
    <t>day</t>
  </si>
  <si>
    <t>Detention time of 2 days or more is desirable to achieve sufficient BOD removal</t>
  </si>
  <si>
    <t>Hence Volumetric BOD loading(λ) is</t>
  </si>
  <si>
    <t>BOD removal efficiency(in %)=2T+20</t>
  </si>
  <si>
    <t xml:space="preserve">For liquid depth </t>
  </si>
  <si>
    <t>Area at mid depth</t>
  </si>
  <si>
    <t>Length shall be L=2B</t>
  </si>
  <si>
    <t>Hence mid  length L-</t>
  </si>
  <si>
    <t>Hence total top length(L)</t>
  </si>
  <si>
    <t>Hence total top width(W)</t>
  </si>
  <si>
    <t>Area at top</t>
  </si>
  <si>
    <t>Hence total bottom length (L)</t>
  </si>
  <si>
    <t>Hence total bottom width(W)</t>
  </si>
  <si>
    <t>Area at Bottom</t>
  </si>
  <si>
    <t>DESIGN OF FACULTATIVE POND</t>
  </si>
  <si>
    <t>BOD enter at Facultative pond after 2 days detention period at anaerobic pond</t>
  </si>
  <si>
    <t>Volumetric BoD loading:-</t>
  </si>
  <si>
    <t>kg/ha/day</t>
  </si>
  <si>
    <t>Influent BOD to facultative pond</t>
  </si>
  <si>
    <t>From equation (as per world bank paper) facultative mid depth area can be calculated as(A)</t>
  </si>
  <si>
    <t>then A is</t>
  </si>
  <si>
    <t>Take L=2B</t>
  </si>
  <si>
    <t>M</t>
  </si>
  <si>
    <t>m</t>
  </si>
  <si>
    <t>Length at bottom</t>
  </si>
  <si>
    <t>width at bottom</t>
  </si>
  <si>
    <t>Length at top including 1.0 mt free board</t>
  </si>
  <si>
    <t>width at top including 1.0 mt free board</t>
  </si>
  <si>
    <t>h-height(liquid depth)</t>
  </si>
  <si>
    <t>S0-area at top</t>
  </si>
  <si>
    <t>S1-area at mid water depth</t>
  </si>
  <si>
    <t>S2-area at bottom</t>
  </si>
  <si>
    <t>Hence V of each tank is</t>
  </si>
  <si>
    <t>Then detention time of each tank is</t>
  </si>
  <si>
    <t>days</t>
  </si>
  <si>
    <t xml:space="preserve"> Total detention time of anaerobic + facultative pond is</t>
  </si>
  <si>
    <t xml:space="preserve">Total area </t>
  </si>
  <si>
    <t>m2</t>
  </si>
  <si>
    <t>Assuming footprint area of units as % of total area</t>
  </si>
  <si>
    <t>Hence total area is-</t>
  </si>
  <si>
    <t>Hence total area in hectare taken as</t>
  </si>
  <si>
    <t>Hence Effluent BOD is</t>
  </si>
  <si>
    <t>Sec</t>
  </si>
  <si>
    <t>cum</t>
  </si>
  <si>
    <t>DESIGN OF INLET  CHAMBER</t>
  </si>
  <si>
    <t xml:space="preserve">Detention time </t>
  </si>
  <si>
    <t>Depth of water in screen</t>
  </si>
  <si>
    <t>Inclined length of Screen</t>
  </si>
  <si>
    <t>the detention time of 1.87(slightly higher) minute is  immaterial for mechanically cleaned grit removal tank</t>
  </si>
  <si>
    <t>9 x9x0.9</t>
  </si>
  <si>
    <t>Each handling flow of(25000m3 per day/3)</t>
  </si>
  <si>
    <t>Hence Volume of each tank (V)</t>
  </si>
  <si>
    <t>sqm</t>
  </si>
  <si>
    <t>Free Board</t>
  </si>
  <si>
    <t>Length of weir</t>
  </si>
  <si>
    <t>H</t>
  </si>
  <si>
    <t>m/sec</t>
  </si>
  <si>
    <t>No of Bars</t>
  </si>
  <si>
    <t>Hence area at bottom is -</t>
  </si>
  <si>
    <t>Area at top including 1.0 mtr free board-</t>
  </si>
  <si>
    <t>λs=60(1.099)^T  (Refer Jodhpur design)</t>
  </si>
  <si>
    <t>λs=20 T-120</t>
  </si>
  <si>
    <t>λs=20T-60</t>
  </si>
  <si>
    <t>λs=375-6.25L, where L-latitude(28.73), Refer manual</t>
  </si>
  <si>
    <t>hactare</t>
  </si>
  <si>
    <t>Width taken</t>
  </si>
  <si>
    <t>Length</t>
  </si>
  <si>
    <t>Total width of channel: Provide</t>
  </si>
  <si>
    <t>Openings</t>
  </si>
  <si>
    <t>No of bars</t>
  </si>
  <si>
    <t xml:space="preserve">Length of screen </t>
  </si>
  <si>
    <t>Size of Coarse Screen-Width</t>
  </si>
  <si>
    <t>Head Loss No Clogging</t>
  </si>
  <si>
    <t>Velocity when 50% clogging</t>
  </si>
  <si>
    <t>Head Loss when 50% clogging</t>
  </si>
  <si>
    <t>Length of chamber before screen</t>
  </si>
  <si>
    <t>Total Length of chamber</t>
  </si>
  <si>
    <t>Hence width of opening</t>
  </si>
  <si>
    <t>No of Openings</t>
  </si>
  <si>
    <t>Width of Channal</t>
  </si>
  <si>
    <t>Velocity in Channal u/s of Screen</t>
  </si>
  <si>
    <t>Velocity through  Screen</t>
  </si>
  <si>
    <t>mm x50mm</t>
  </si>
  <si>
    <t>Velocity(taking) through screen, Assume</t>
  </si>
  <si>
    <t>Head Loss through screen</t>
  </si>
  <si>
    <t>Velocity through screen when 50% clogged</t>
  </si>
  <si>
    <t>Flow height above, H weir,Q=(2/3)*Cd*L*H^1.5*((2g)^.5),Cd=.6,L=9</t>
  </si>
  <si>
    <t>Hence provide tank length</t>
  </si>
  <si>
    <t>Hence provide tank Width</t>
  </si>
  <si>
    <t>Side slope of pond is 1V :2.5 H</t>
  </si>
  <si>
    <t>bottom below Mid depth</t>
  </si>
  <si>
    <t>Top of embankment above mid depth</t>
  </si>
  <si>
    <t>Depth for Sludge</t>
  </si>
  <si>
    <t>Sludge Storage andCleaning requirement</t>
  </si>
  <si>
    <t>years</t>
  </si>
  <si>
    <t>Distribution tank for Anaerobic Pond</t>
  </si>
  <si>
    <t>Consider one anerobic pond not working,</t>
  </si>
  <si>
    <t>Q per tank</t>
  </si>
  <si>
    <t>Flow height above weir, H ,Q=(2/3)*Cd*L*H^1.5*((2g)^.5),Cd=.6,L=1.2</t>
  </si>
  <si>
    <t>Total Head loss</t>
  </si>
  <si>
    <t>Flow when one tank not working</t>
  </si>
  <si>
    <t>head loss flq^2/10*d^5</t>
  </si>
  <si>
    <t>entry/exit loss</t>
  </si>
  <si>
    <t>Total Losses</t>
  </si>
  <si>
    <t>Assume weir length</t>
  </si>
  <si>
    <t>Pipe from distribution tank to anaerobic pond inlet</t>
  </si>
  <si>
    <t>Length of pipe</t>
  </si>
  <si>
    <t>Overflow Weir for Inlet to Anaerobic Pond</t>
  </si>
  <si>
    <t>Flow height above weir, H ,Q=(2/3)*Cd*L*H^1.5*((2g)^.5),Cd=.6</t>
  </si>
  <si>
    <t>Pipe from Anaerobic Pond Inlet to Anaerobic Pond</t>
  </si>
  <si>
    <t xml:space="preserve">Overflow Weir for Inlet to Facultative Pond </t>
  </si>
  <si>
    <t>Pipe from Facultative Pond Inlet to Facultative Pond</t>
  </si>
  <si>
    <t>Half flow from one anaerobic pond, Length of weir</t>
  </si>
  <si>
    <t xml:space="preserve">Overflow Weir for Outlet to Facultative Pond </t>
  </si>
  <si>
    <t xml:space="preserve">Flow </t>
  </si>
  <si>
    <t>Pipe from Facultative Pond outlet to Outlet Chamber 1</t>
  </si>
  <si>
    <t>Pipe from  outlet Chamber 1to outlet Chamber 2</t>
  </si>
  <si>
    <t>velocity</t>
  </si>
  <si>
    <t>Pipe from Outlet Chamber 2 to Sewage Pump House</t>
  </si>
  <si>
    <t>Sewage pumping for Irrigation and Disposal</t>
  </si>
  <si>
    <t>Flow</t>
  </si>
  <si>
    <t>Head</t>
  </si>
  <si>
    <t>Pump working</t>
  </si>
  <si>
    <t>No</t>
  </si>
  <si>
    <t>Pump stand bye</t>
  </si>
  <si>
    <t>Flow in each pump</t>
  </si>
  <si>
    <t>pump efficiency</t>
  </si>
  <si>
    <t>Pump KW</t>
  </si>
  <si>
    <t>Flow in LPS</t>
  </si>
  <si>
    <t>LPS</t>
  </si>
  <si>
    <t>cum/sec</t>
  </si>
  <si>
    <t>Peak Flow when one tank not working</t>
  </si>
  <si>
    <t>Average flow when one tank not working</t>
  </si>
  <si>
    <t xml:space="preserve">Average flow </t>
  </si>
  <si>
    <t>Alternately Provide channal</t>
  </si>
  <si>
    <t>Velocity</t>
  </si>
  <si>
    <t>Taking, Width=2*Height, H=</t>
  </si>
  <si>
    <t>Slope required, V=1/n*R^.67*S*.5, n=0.013, S=</t>
  </si>
  <si>
    <r>
      <t>F=(log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A)^.5-1,  F=</t>
    </r>
  </si>
  <si>
    <t>Wave height,H, (g*H)/V^2=.0026((gFe/V^2)^0.47, Fe is fetch,V is wind velocity, H=</t>
  </si>
  <si>
    <t>Faecal Coliform Removal</t>
  </si>
  <si>
    <r>
      <t>Ne/Ni=1/(1+kt</t>
    </r>
    <r>
      <rPr>
        <sz val="11"/>
        <color indexed="8"/>
        <rFont val="Calibri"/>
        <family val="2"/>
      </rPr>
      <t>θa)(1+Ktθf), Ni=5*10^7, Ne=</t>
    </r>
  </si>
  <si>
    <t>Kt=2.6(1.19)^(T-20), T=13.89, kt=</t>
  </si>
  <si>
    <t>Helminth Removal</t>
  </si>
  <si>
    <r>
      <t>R % removal=100(1-0.14 Exp(-0.38</t>
    </r>
    <r>
      <rPr>
        <sz val="11"/>
        <color indexed="8"/>
        <rFont val="Calibri"/>
        <family val="2"/>
      </rPr>
      <t>θ))</t>
    </r>
  </si>
  <si>
    <t xml:space="preserve">Delivery Pipe  velocity </t>
  </si>
  <si>
    <t>Pipe dia</t>
  </si>
  <si>
    <t>Pipe Area for combined flow of two pumps</t>
  </si>
  <si>
    <t xml:space="preserve">Pipe dia of delivery for each pump, velocity  </t>
  </si>
  <si>
    <t>Pipe Dia</t>
  </si>
  <si>
    <t>Suction Pipe dia</t>
  </si>
  <si>
    <t>Sump for Effluent pumping station</t>
  </si>
  <si>
    <t>flow</t>
  </si>
  <si>
    <t>minutes</t>
  </si>
  <si>
    <t>Sump storage</t>
  </si>
  <si>
    <t>Sump Capacity</t>
  </si>
  <si>
    <t xml:space="preserve">Sump Capacity Provided </t>
  </si>
  <si>
    <t>Peak Flow :</t>
  </si>
  <si>
    <t>Peak Factor</t>
  </si>
  <si>
    <t>Factor</t>
  </si>
  <si>
    <t>Coarse Screen Opening</t>
  </si>
  <si>
    <t>Sin (Angle of Inclination)</t>
  </si>
  <si>
    <t>Size of Coarse Screen-Length</t>
  </si>
  <si>
    <t>Sin (Angle of Inclination with horizontal)</t>
  </si>
  <si>
    <t>This Q/A value has to be reduced  to allow for deposition of sand during sand strom by</t>
  </si>
  <si>
    <t>No of Anaerobic ponds to provide flexibility in O&amp;M of these ponds</t>
  </si>
  <si>
    <t>Provide three anaerobic pond each of 108.8mx63.1m at top surface and 78.8mx33.1 m surface at bottom</t>
  </si>
  <si>
    <t>Correction for above MSL=(1+(3 x10-5)xE)</t>
  </si>
  <si>
    <t>where E is elevation in meters=</t>
  </si>
  <si>
    <t xml:space="preserve"> Li= </t>
  </si>
  <si>
    <t xml:space="preserve"> Adopt liquid depth </t>
  </si>
  <si>
    <t>Adopt depth for sludge</t>
  </si>
  <si>
    <t>Adopt Free Board</t>
  </si>
  <si>
    <t xml:space="preserve">Area at bottom embankment slope H/V </t>
  </si>
  <si>
    <t>Divide the area in two ponds(area of each facultative pond) at middle of tank</t>
  </si>
  <si>
    <t>Then L is at mid depth</t>
  </si>
  <si>
    <t>Hence area at mid depth is</t>
  </si>
  <si>
    <t>Total Depth of tank</t>
  </si>
  <si>
    <t>Nomber of Tanks</t>
  </si>
  <si>
    <t>Average flow in each tank</t>
  </si>
  <si>
    <t>Total area of ll afacultative  ponds at top</t>
  </si>
  <si>
    <t xml:space="preserve">Total area of all anaerobic  ponds at top </t>
  </si>
  <si>
    <t xml:space="preserve">Effluent to be used for restricted irrigation as such 100 effluent BOD is ok however on safe side design for effluent BOD of </t>
  </si>
  <si>
    <t>Population equivalent  at 108 LPCD waste</t>
  </si>
  <si>
    <t>For anaerobic pond sludge volume</t>
  </si>
  <si>
    <t>cum per capita/year</t>
  </si>
  <si>
    <t>cum/year</t>
  </si>
  <si>
    <t>Sludge volume provided in all anaerobic ponds</t>
  </si>
  <si>
    <t>Cleaning required period</t>
  </si>
  <si>
    <t xml:space="preserve">Allow free fall of </t>
  </si>
  <si>
    <t xml:space="preserve">Allow free fall </t>
  </si>
  <si>
    <t>velocity of flow</t>
  </si>
  <si>
    <t xml:space="preserve">  velocity in pipe</t>
  </si>
  <si>
    <t xml:space="preserve">Assume pipe dia </t>
  </si>
  <si>
    <t>Assume pipe dia</t>
  </si>
  <si>
    <t xml:space="preserve">Pipe dia </t>
  </si>
  <si>
    <t>in 1000</t>
  </si>
  <si>
    <t>Motor KW</t>
  </si>
  <si>
    <t>Total No of pumps working + stand by</t>
  </si>
  <si>
    <t>Sump depth</t>
  </si>
  <si>
    <t>Sump Dia</t>
  </si>
  <si>
    <t>Provide Sump Dia</t>
  </si>
  <si>
    <t>R % removal as per the table in book by DANIDA</t>
  </si>
  <si>
    <t xml:space="preserve">TOOL FOR DESIGN OF  STP BASED ON ANAEROBIC AND FACULTATIVE PONDS </t>
  </si>
  <si>
    <t>Capacity Average Flow</t>
  </si>
  <si>
    <t>Guidance: Yellow cells are the input information to be suitably filled. Green cells are to be reviewed and modified/updated if need be. Red letters to be suitably corrected.</t>
  </si>
  <si>
    <t>Total BOD removal in facultative pond</t>
  </si>
  <si>
    <r>
      <t xml:space="preserve">Drain level at outlet at chainage </t>
    </r>
    <r>
      <rPr>
        <sz val="11"/>
        <color indexed="10"/>
        <rFont val="Calibri"/>
        <family val="2"/>
      </rPr>
      <t>11325</t>
    </r>
  </si>
  <si>
    <r>
      <t>IL of Out fall Sewer(</t>
    </r>
    <r>
      <rPr>
        <sz val="11"/>
        <color indexed="10"/>
        <rFont val="Calibri"/>
        <family val="2"/>
      </rPr>
      <t>1000</t>
    </r>
    <r>
      <rPr>
        <sz val="11"/>
        <color indexed="8"/>
        <rFont val="Calibri"/>
        <family val="2"/>
      </rPr>
      <t xml:space="preserve"> mm) with slope  1 in </t>
    </r>
    <r>
      <rPr>
        <sz val="11"/>
        <color indexed="10"/>
        <rFont val="Calibri"/>
        <family val="2"/>
      </rPr>
      <t>1100</t>
    </r>
    <r>
      <rPr>
        <sz val="11"/>
        <color indexed="8"/>
        <rFont val="Calibri"/>
        <family val="2"/>
      </rPr>
      <t xml:space="preserve"> at STP</t>
    </r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</si>
  <si>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/sec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</si>
  <si>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</si>
  <si>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 xml:space="preserve">Provide free board </t>
    </r>
    <r>
      <rPr>
        <sz val="11"/>
        <color indexed="8"/>
        <rFont val="Calibri"/>
        <family val="2"/>
      </rPr>
      <t xml:space="preserve"> to ensure that raw sewage will not overflow even when the </t>
    </r>
    <r>
      <rPr>
        <sz val="11"/>
        <color indexed="10"/>
        <rFont val="Calibri"/>
        <family val="2"/>
      </rPr>
      <t>1000</t>
    </r>
    <r>
      <rPr>
        <sz val="11"/>
        <color indexed="8"/>
        <rFont val="Calibri"/>
        <family val="2"/>
      </rPr>
      <t xml:space="preserve"> mm out fall sewer run full</t>
    </r>
  </si>
  <si>
    <r>
      <t>Size-</t>
    </r>
    <r>
      <rPr>
        <sz val="11"/>
        <color indexed="10"/>
        <rFont val="Calibri"/>
        <family val="2"/>
      </rPr>
      <t>2.85</t>
    </r>
    <r>
      <rPr>
        <sz val="11"/>
        <color indexed="8"/>
        <rFont val="Calibri"/>
        <family val="2"/>
      </rPr>
      <t xml:space="preserve"> (L)x2(W)x</t>
    </r>
    <r>
      <rPr>
        <sz val="11"/>
        <color indexed="10"/>
        <rFont val="Calibri"/>
        <family val="2"/>
      </rPr>
      <t>1.7</t>
    </r>
    <r>
      <rPr>
        <sz val="11"/>
        <color indexed="8"/>
        <rFont val="Calibri"/>
        <family val="2"/>
      </rPr>
      <t>(D)</t>
    </r>
  </si>
  <si>
    <r>
      <t>Q/A=V</t>
    </r>
    <r>
      <rPr>
        <vertAlign val="subscript"/>
        <sz val="12"/>
        <color indexed="8"/>
        <rFont val="Calibri"/>
        <family val="2"/>
      </rPr>
      <t>S</t>
    </r>
    <r>
      <rPr>
        <sz val="12"/>
        <color indexed="8"/>
        <rFont val="Calibri"/>
        <family val="2"/>
      </rPr>
      <t xml:space="preserve"> x n/(1-η)</t>
    </r>
    <r>
      <rPr>
        <vertAlign val="superscript"/>
        <sz val="12"/>
        <color indexed="8"/>
        <rFont val="Calibri"/>
        <family val="2"/>
      </rPr>
      <t>-n</t>
    </r>
    <r>
      <rPr>
        <sz val="12"/>
        <color indexed="8"/>
        <rFont val="Calibri"/>
        <family val="2"/>
      </rPr>
      <t>-1</t>
    </r>
  </si>
  <si>
    <r>
      <t>Where-</t>
    </r>
    <r>
      <rPr>
        <sz val="14"/>
        <color indexed="8"/>
        <rFont val="Calibri"/>
        <family val="2"/>
      </rPr>
      <t>η</t>
    </r>
    <r>
      <rPr>
        <sz val="12"/>
        <color indexed="8"/>
        <rFont val="Calibri"/>
        <family val="2"/>
      </rPr>
      <t>-Desired efficiency of removal of grit particle</t>
    </r>
  </si>
  <si>
    <r>
      <t>V</t>
    </r>
    <r>
      <rPr>
        <vertAlign val="subscript"/>
        <sz val="12"/>
        <color indexed="8"/>
        <rFont val="Calibri"/>
        <family val="2"/>
      </rPr>
      <t xml:space="preserve">S </t>
    </r>
    <r>
      <rPr>
        <sz val="12"/>
        <color indexed="8"/>
        <rFont val="Calibri"/>
        <family val="2"/>
      </rPr>
      <t>-settling velocity of minimum size of grit particle to be removed</t>
    </r>
  </si>
  <si>
    <r>
      <t>Here V</t>
    </r>
    <r>
      <rPr>
        <vertAlign val="subscript"/>
        <sz val="12"/>
        <color indexed="8"/>
        <rFont val="Calibri"/>
        <family val="2"/>
      </rPr>
      <t>S</t>
    </r>
    <r>
      <rPr>
        <sz val="12"/>
        <color indexed="8"/>
        <rFont val="Calibri"/>
        <family val="2"/>
      </rPr>
      <t xml:space="preserve"> value taken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</si>
  <si>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/day</t>
    </r>
  </si>
  <si>
    <r>
      <t>Hence surface over flow rate(Q/A)=(Vs*n)/(((1-</t>
    </r>
    <r>
      <rPr>
        <sz val="12"/>
        <color indexed="8"/>
        <rFont val="Calibri"/>
        <family val="2"/>
      </rPr>
      <t>η)^-n)-1)</t>
    </r>
  </si>
  <si>
    <r>
      <t>Peak flow(m</t>
    </r>
    <r>
      <rPr>
        <vertAlign val="superscript"/>
        <sz val="12"/>
        <color indexed="8"/>
        <rFont val="Calibri"/>
        <family val="2"/>
      </rPr>
      <t>3/</t>
    </r>
    <r>
      <rPr>
        <sz val="12"/>
        <color indexed="8"/>
        <rFont val="Calibri"/>
        <family val="2"/>
      </rPr>
      <t>day)</t>
    </r>
  </si>
  <si>
    <r>
      <t>(m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/day)</t>
    </r>
  </si>
  <si>
    <r>
      <t>m</t>
    </r>
    <r>
      <rPr>
        <vertAlign val="super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</si>
  <si>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</si>
  <si>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(m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/day)</t>
    </r>
  </si>
  <si>
    <r>
      <t xml:space="preserve">T=mean temperature in coldest month in 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C (The manual by DANIDA ENRECA suggests T as mean in coldest month or quarter. In quarter it is 15.55)</t>
    </r>
  </si>
  <si>
    <r>
      <t>m</t>
    </r>
    <r>
      <rPr>
        <vertAlign val="superscript"/>
        <sz val="11"/>
        <color indexed="8"/>
        <rFont val="Calibri"/>
        <family val="2"/>
      </rPr>
      <t>3</t>
    </r>
  </si>
  <si>
    <r>
      <t>Hence mid depth width B=(area/2)</t>
    </r>
    <r>
      <rPr>
        <vertAlign val="superscript"/>
        <sz val="11"/>
        <color indexed="8"/>
        <rFont val="Calibri"/>
        <family val="2"/>
      </rPr>
      <t>1/2</t>
    </r>
  </si>
  <si>
    <r>
      <t>Minimum mean monthly temperature</t>
    </r>
    <r>
      <rPr>
        <vertAlign val="superscript"/>
        <sz val="11"/>
        <color indexed="8"/>
        <rFont val="Calibri"/>
        <family val="2"/>
      </rPr>
      <t xml:space="preserve"> 0</t>
    </r>
    <r>
      <rPr>
        <sz val="11"/>
        <color indexed="8"/>
        <rFont val="Calibri"/>
        <family val="2"/>
      </rPr>
      <t>c</t>
    </r>
  </si>
  <si>
    <r>
      <t>λ</t>
    </r>
    <r>
      <rPr>
        <vertAlign val="subscript"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>=350 x(1.107-0.002T)</t>
    </r>
    <r>
      <rPr>
        <vertAlign val="superscript"/>
        <sz val="11"/>
        <color indexed="8"/>
        <rFont val="Calibri"/>
        <family val="2"/>
      </rPr>
      <t>(T-20)</t>
    </r>
    <r>
      <rPr>
        <sz val="11"/>
        <color indexed="8"/>
        <rFont val="Calibri"/>
        <family val="2"/>
      </rPr>
      <t xml:space="preserve"> this value of BOD loading rate recommended as MEAFNRCD( Refer DANIDA)</t>
    </r>
  </si>
  <si>
    <r>
      <t>then λ</t>
    </r>
    <r>
      <rPr>
        <vertAlign val="subscript"/>
        <sz val="11"/>
        <color indexed="8"/>
        <rFont val="Calibri"/>
        <family val="2"/>
      </rPr>
      <t xml:space="preserve">s </t>
    </r>
    <r>
      <rPr>
        <sz val="11"/>
        <color indexed="8"/>
        <rFont val="Calibri"/>
        <family val="2"/>
      </rPr>
      <t>is</t>
    </r>
  </si>
  <si>
    <r>
      <t xml:space="preserve"> value of λ</t>
    </r>
    <r>
      <rPr>
        <vertAlign val="subscript"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is considered recommended as MEAFNRCD </t>
    </r>
  </si>
  <si>
    <r>
      <t>A=10 x L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x Q/λ</t>
    </r>
    <r>
      <rPr>
        <vertAlign val="subscript"/>
        <sz val="11"/>
        <color indexed="8"/>
        <rFont val="Calibri"/>
        <family val="2"/>
      </rPr>
      <t>s</t>
    </r>
  </si>
  <si>
    <r>
      <t>A-facultative area at mid depth in m</t>
    </r>
    <r>
      <rPr>
        <vertAlign val="superscript"/>
        <sz val="11"/>
        <color indexed="8"/>
        <rFont val="Calibri"/>
        <family val="2"/>
      </rPr>
      <t>2</t>
    </r>
  </si>
  <si>
    <r>
      <t>L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-influent BOD concentration in mg/l, Li is BOD to be removed</t>
    </r>
  </si>
  <si>
    <r>
      <t>Then width B=(A/2)</t>
    </r>
    <r>
      <rPr>
        <vertAlign val="superscript"/>
        <sz val="11"/>
        <color indexed="8"/>
        <rFont val="Calibri"/>
        <family val="2"/>
      </rPr>
      <t>1/2</t>
    </r>
  </si>
  <si>
    <r>
      <t>Volume of pond V=h/6(S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+4S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+S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</si>
</sst>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"/>
    <numFmt numFmtId="174" formatCode="0.000000"/>
    <numFmt numFmtId="175" formatCode="[$-409]dddd\,\ mmmm\ dd\,\ yyyy"/>
    <numFmt numFmtId="176" formatCode="[$-409]h:mm:ss\ AM/PM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0000"/>
    <numFmt numFmtId="184" formatCode="0.0000"/>
    <numFmt numFmtId="185" formatCode="0.0000000"/>
    <numFmt numFmtId="186" formatCode="0.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sz val="11"/>
      <name val="Calibri"/>
      <family val="2"/>
    </font>
    <font>
      <b/>
      <sz val="14"/>
      <color indexed="10"/>
      <name val="Arial"/>
      <family val="2"/>
    </font>
    <font>
      <vertAlign val="superscript"/>
      <sz val="11"/>
      <color indexed="8"/>
      <name val="Calibri"/>
      <family val="2"/>
    </font>
    <font>
      <b/>
      <sz val="12"/>
      <color indexed="5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name val="Calibri"/>
      <family val="2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4"/>
      <color rgb="FFFF0000"/>
      <name val="Calibri"/>
      <family val="2"/>
    </font>
    <font>
      <b/>
      <sz val="12"/>
      <color rgb="FF0000FF"/>
      <name val="Arial"/>
      <family val="2"/>
    </font>
    <font>
      <b/>
      <sz val="14"/>
      <color rgb="FFFF0000"/>
      <name val="Arial"/>
      <family val="2"/>
    </font>
    <font>
      <sz val="11"/>
      <color rgb="FF000000"/>
      <name val="Calibri"/>
      <family val="2"/>
    </font>
    <font>
      <b/>
      <sz val="12"/>
      <color rgb="FFFFC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>
        <fgColor rgb="FF00FF00"/>
        <bgColor rgb="FFBFFFBF"/>
      </patternFill>
    </fill>
    <fill>
      <patternFill patternType="lightGrid">
        <fgColor rgb="FF00FF00"/>
        <bgColor theme="5" tint="0.5999900102615356"/>
      </patternFill>
    </fill>
    <fill>
      <patternFill patternType="lightGrid">
        <fgColor rgb="FF00FF00"/>
        <bgColor rgb="FF7030A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center" wrapText="1"/>
    </xf>
    <xf numFmtId="0" fontId="53" fillId="33" borderId="11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 wrapText="1"/>
    </xf>
    <xf numFmtId="0" fontId="23" fillId="0" borderId="0" xfId="0" applyFont="1" applyAlignment="1">
      <alignment/>
    </xf>
    <xf numFmtId="0" fontId="53" fillId="33" borderId="13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left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left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3" fillId="34" borderId="14" xfId="0" applyFont="1" applyFill="1" applyBorder="1" applyAlignment="1">
      <alignment horizontal="left" vertical="top" wrapText="1"/>
    </xf>
    <xf numFmtId="0" fontId="53" fillId="34" borderId="11" xfId="0" applyFont="1" applyFill="1" applyBorder="1" applyAlignment="1">
      <alignment horizontal="left" vertical="top" wrapText="1"/>
    </xf>
    <xf numFmtId="0" fontId="53" fillId="34" borderId="12" xfId="0" applyFont="1" applyFill="1" applyBorder="1" applyAlignment="1">
      <alignment horizontal="left" vertical="top" wrapText="1"/>
    </xf>
    <xf numFmtId="0" fontId="54" fillId="35" borderId="14" xfId="0" applyFont="1" applyFill="1" applyBorder="1" applyAlignment="1">
      <alignment horizontal="center" vertical="top" wrapText="1"/>
    </xf>
    <xf numFmtId="0" fontId="54" fillId="35" borderId="11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left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 wrapText="1"/>
    </xf>
    <xf numFmtId="0" fontId="0" fillId="36" borderId="17" xfId="0" applyFill="1" applyBorder="1" applyAlignment="1">
      <alignment/>
    </xf>
    <xf numFmtId="2" fontId="0" fillId="36" borderId="17" xfId="0" applyNumberFormat="1" applyFill="1" applyBorder="1" applyAlignment="1">
      <alignment/>
    </xf>
    <xf numFmtId="173" fontId="0" fillId="0" borderId="17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/>
    </xf>
    <xf numFmtId="2" fontId="49" fillId="0" borderId="17" xfId="0" applyNumberFormat="1" applyFont="1" applyBorder="1" applyAlignment="1">
      <alignment/>
    </xf>
    <xf numFmtId="0" fontId="49" fillId="0" borderId="17" xfId="0" applyFont="1" applyBorder="1" applyAlignment="1">
      <alignment horizontal="left"/>
    </xf>
    <xf numFmtId="172" fontId="0" fillId="0" borderId="17" xfId="0" applyNumberFormat="1" applyBorder="1" applyAlignment="1">
      <alignment/>
    </xf>
    <xf numFmtId="174" fontId="0" fillId="0" borderId="17" xfId="0" applyNumberFormat="1" applyBorder="1" applyAlignment="1">
      <alignment/>
    </xf>
    <xf numFmtId="0" fontId="0" fillId="0" borderId="17" xfId="0" applyBorder="1" applyAlignment="1">
      <alignment horizontal="left"/>
    </xf>
    <xf numFmtId="0" fontId="23" fillId="0" borderId="17" xfId="0" applyFont="1" applyFill="1" applyBorder="1" applyAlignment="1">
      <alignment horizontal="left" vertical="top" wrapText="1"/>
    </xf>
    <xf numFmtId="0" fontId="55" fillId="0" borderId="21" xfId="0" applyFont="1" applyBorder="1" applyAlignment="1">
      <alignment horizontal="left" wrapText="1"/>
    </xf>
    <xf numFmtId="0" fontId="55" fillId="0" borderId="22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center" wrapText="1"/>
    </xf>
    <xf numFmtId="0" fontId="55" fillId="37" borderId="14" xfId="0" applyFont="1" applyFill="1" applyBorder="1" applyAlignment="1">
      <alignment horizontal="left" wrapText="1"/>
    </xf>
    <xf numFmtId="0" fontId="55" fillId="37" borderId="11" xfId="0" applyFont="1" applyFill="1" applyBorder="1" applyAlignment="1">
      <alignment horizontal="left" wrapText="1"/>
    </xf>
    <xf numFmtId="0" fontId="55" fillId="37" borderId="12" xfId="0" applyFont="1" applyFill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55" fillId="0" borderId="11" xfId="0" applyFont="1" applyBorder="1" applyAlignment="1">
      <alignment horizontal="left" wrapText="1"/>
    </xf>
    <xf numFmtId="0" fontId="55" fillId="0" borderId="22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38" borderId="12" xfId="0" applyFont="1" applyFill="1" applyBorder="1" applyAlignment="1">
      <alignment wrapText="1"/>
    </xf>
    <xf numFmtId="0" fontId="55" fillId="38" borderId="10" xfId="0" applyFont="1" applyFill="1" applyBorder="1" applyAlignment="1">
      <alignment horizontal="right" wrapText="1"/>
    </xf>
    <xf numFmtId="0" fontId="56" fillId="0" borderId="21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27" fillId="0" borderId="14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36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55" fillId="0" borderId="15" xfId="0" applyFont="1" applyBorder="1" applyAlignment="1">
      <alignment horizontal="left" wrapText="1"/>
    </xf>
    <xf numFmtId="0" fontId="55" fillId="0" borderId="16" xfId="0" applyFont="1" applyBorder="1" applyAlignment="1">
      <alignment horizontal="left" wrapText="1"/>
    </xf>
    <xf numFmtId="0" fontId="55" fillId="0" borderId="23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5" fillId="0" borderId="22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14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top" wrapText="1"/>
    </xf>
    <xf numFmtId="0" fontId="55" fillId="0" borderId="14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22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36" borderId="14" xfId="0" applyFont="1" applyFill="1" applyBorder="1" applyAlignment="1">
      <alignment vertical="top" wrapText="1"/>
    </xf>
    <xf numFmtId="0" fontId="55" fillId="36" borderId="11" xfId="0" applyFont="1" applyFill="1" applyBorder="1" applyAlignment="1">
      <alignment vertical="top" wrapText="1"/>
    </xf>
    <xf numFmtId="0" fontId="55" fillId="36" borderId="12" xfId="0" applyFont="1" applyFill="1" applyBorder="1" applyAlignment="1">
      <alignment vertical="top" wrapText="1"/>
    </xf>
    <xf numFmtId="0" fontId="57" fillId="0" borderId="24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left" vertical="top" wrapText="1"/>
    </xf>
    <xf numFmtId="0" fontId="57" fillId="0" borderId="22" xfId="0" applyFont="1" applyBorder="1" applyAlignment="1">
      <alignment horizontal="right" vertical="top" wrapText="1"/>
    </xf>
    <xf numFmtId="0" fontId="57" fillId="0" borderId="10" xfId="0" applyFont="1" applyBorder="1" applyAlignment="1">
      <alignment horizontal="right" vertical="top" wrapText="1"/>
    </xf>
    <xf numFmtId="0" fontId="57" fillId="0" borderId="21" xfId="0" applyFont="1" applyBorder="1" applyAlignment="1">
      <alignment vertical="top" wrapText="1"/>
    </xf>
    <xf numFmtId="0" fontId="55" fillId="0" borderId="24" xfId="0" applyFont="1" applyBorder="1" applyAlignment="1">
      <alignment horizontal="center" vertical="top" wrapText="1"/>
    </xf>
    <xf numFmtId="0" fontId="55" fillId="0" borderId="21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/>
    </xf>
    <xf numFmtId="0" fontId="55" fillId="0" borderId="11" xfId="0" applyFont="1" applyBorder="1" applyAlignment="1">
      <alignment vertical="top"/>
    </xf>
    <xf numFmtId="0" fontId="55" fillId="0" borderId="12" xfId="0" applyFont="1" applyBorder="1" applyAlignment="1">
      <alignment vertical="top"/>
    </xf>
    <xf numFmtId="0" fontId="55" fillId="36" borderId="12" xfId="0" applyFont="1" applyFill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36" borderId="24" xfId="0" applyFont="1" applyFill="1" applyBorder="1" applyAlignment="1">
      <alignment horizontal="right" wrapText="1"/>
    </xf>
    <xf numFmtId="0" fontId="55" fillId="36" borderId="10" xfId="0" applyFont="1" applyFill="1" applyBorder="1" applyAlignment="1">
      <alignment horizontal="right" wrapText="1"/>
    </xf>
    <xf numFmtId="2" fontId="55" fillId="0" borderId="10" xfId="0" applyNumberFormat="1" applyFont="1" applyBorder="1" applyAlignment="1">
      <alignment horizontal="right" wrapText="1"/>
    </xf>
    <xf numFmtId="0" fontId="55" fillId="0" borderId="10" xfId="0" applyFont="1" applyBorder="1" applyAlignment="1">
      <alignment horizontal="right" wrapText="1"/>
    </xf>
    <xf numFmtId="0" fontId="55" fillId="37" borderId="10" xfId="0" applyFont="1" applyFill="1" applyBorder="1" applyAlignment="1">
      <alignment horizontal="left" wrapText="1"/>
    </xf>
    <xf numFmtId="0" fontId="55" fillId="0" borderId="24" xfId="0" applyFont="1" applyBorder="1" applyAlignment="1">
      <alignment horizontal="right" wrapText="1"/>
    </xf>
    <xf numFmtId="172" fontId="55" fillId="0" borderId="10" xfId="0" applyNumberFormat="1" applyFont="1" applyBorder="1" applyAlignment="1">
      <alignment horizontal="right" wrapText="1"/>
    </xf>
    <xf numFmtId="0" fontId="55" fillId="38" borderId="24" xfId="0" applyFont="1" applyFill="1" applyBorder="1" applyAlignment="1">
      <alignment horizontal="right" wrapText="1"/>
    </xf>
    <xf numFmtId="2" fontId="55" fillId="36" borderId="10" xfId="0" applyNumberFormat="1" applyFont="1" applyFill="1" applyBorder="1" applyAlignment="1">
      <alignment horizontal="right" wrapText="1"/>
    </xf>
    <xf numFmtId="1" fontId="55" fillId="0" borderId="10" xfId="0" applyNumberFormat="1" applyFont="1" applyBorder="1" applyAlignment="1">
      <alignment horizontal="right" wrapText="1"/>
    </xf>
    <xf numFmtId="0" fontId="55" fillId="38" borderId="25" xfId="0" applyFont="1" applyFill="1" applyBorder="1" applyAlignment="1">
      <alignment horizontal="right" wrapText="1"/>
    </xf>
    <xf numFmtId="2" fontId="55" fillId="37" borderId="26" xfId="0" applyNumberFormat="1" applyFont="1" applyFill="1" applyBorder="1" applyAlignment="1">
      <alignment horizontal="right" wrapText="1"/>
    </xf>
    <xf numFmtId="2" fontId="55" fillId="37" borderId="27" xfId="0" applyNumberFormat="1" applyFont="1" applyFill="1" applyBorder="1" applyAlignment="1">
      <alignment horizontal="right" wrapText="1"/>
    </xf>
    <xf numFmtId="173" fontId="55" fillId="37" borderId="27" xfId="0" applyNumberFormat="1" applyFont="1" applyFill="1" applyBorder="1" applyAlignment="1">
      <alignment horizontal="right" wrapText="1"/>
    </xf>
    <xf numFmtId="173" fontId="55" fillId="37" borderId="28" xfId="0" applyNumberFormat="1" applyFont="1" applyFill="1" applyBorder="1" applyAlignment="1">
      <alignment horizontal="right" wrapText="1"/>
    </xf>
    <xf numFmtId="0" fontId="55" fillId="38" borderId="10" xfId="0" applyFont="1" applyFill="1" applyBorder="1" applyAlignment="1">
      <alignment horizontal="right" vertical="top" wrapText="1"/>
    </xf>
    <xf numFmtId="2" fontId="55" fillId="0" borderId="10" xfId="0" applyNumberFormat="1" applyFont="1" applyBorder="1" applyAlignment="1">
      <alignment horizontal="right" vertical="top" wrapText="1"/>
    </xf>
    <xf numFmtId="0" fontId="55" fillId="36" borderId="10" xfId="0" applyFont="1" applyFill="1" applyBorder="1" applyAlignment="1">
      <alignment horizontal="right" vertical="top" wrapText="1"/>
    </xf>
    <xf numFmtId="1" fontId="55" fillId="0" borderId="10" xfId="0" applyNumberFormat="1" applyFont="1" applyBorder="1" applyAlignment="1">
      <alignment horizontal="right" vertical="top" wrapText="1"/>
    </xf>
    <xf numFmtId="0" fontId="55" fillId="38" borderId="24" xfId="0" applyFont="1" applyFill="1" applyBorder="1" applyAlignment="1">
      <alignment horizontal="right" vertical="top" wrapText="1"/>
    </xf>
    <xf numFmtId="173" fontId="23" fillId="0" borderId="10" xfId="0" applyNumberFormat="1" applyFont="1" applyBorder="1" applyAlignment="1">
      <alignment horizontal="right" vertical="top" wrapText="1"/>
    </xf>
    <xf numFmtId="2" fontId="23" fillId="0" borderId="10" xfId="0" applyNumberFormat="1" applyFont="1" applyBorder="1" applyAlignment="1">
      <alignment horizontal="right" vertical="top" wrapText="1"/>
    </xf>
    <xf numFmtId="0" fontId="23" fillId="38" borderId="10" xfId="0" applyFont="1" applyFill="1" applyBorder="1" applyAlignment="1">
      <alignment horizontal="right" vertical="top" wrapText="1"/>
    </xf>
    <xf numFmtId="2" fontId="23" fillId="0" borderId="24" xfId="0" applyNumberFormat="1" applyFont="1" applyBorder="1" applyAlignment="1">
      <alignment horizontal="right" vertical="top" wrapText="1"/>
    </xf>
    <xf numFmtId="0" fontId="55" fillId="0" borderId="10" xfId="0" applyFont="1" applyBorder="1" applyAlignment="1">
      <alignment horizontal="right" vertical="top" wrapText="1"/>
    </xf>
    <xf numFmtId="173" fontId="55" fillId="0" borderId="10" xfId="0" applyNumberFormat="1" applyFont="1" applyBorder="1" applyAlignment="1">
      <alignment horizontal="right" vertical="top" wrapText="1"/>
    </xf>
    <xf numFmtId="0" fontId="55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right" vertical="top" wrapText="1"/>
    </xf>
    <xf numFmtId="0" fontId="57" fillId="36" borderId="10" xfId="0" applyFont="1" applyFill="1" applyBorder="1" applyAlignment="1">
      <alignment horizontal="right" vertical="top" wrapText="1"/>
    </xf>
    <xf numFmtId="0" fontId="31" fillId="37" borderId="10" xfId="0" applyFont="1" applyFill="1" applyBorder="1" applyAlignment="1">
      <alignment horizontal="right" vertical="top" wrapText="1"/>
    </xf>
    <xf numFmtId="0" fontId="57" fillId="38" borderId="10" xfId="0" applyFont="1" applyFill="1" applyBorder="1" applyAlignment="1">
      <alignment horizontal="right" vertical="top" wrapText="1"/>
    </xf>
    <xf numFmtId="0" fontId="57" fillId="38" borderId="24" xfId="0" applyFont="1" applyFill="1" applyBorder="1" applyAlignment="1">
      <alignment horizontal="right" vertical="top" wrapText="1"/>
    </xf>
    <xf numFmtId="10" fontId="57" fillId="36" borderId="24" xfId="0" applyNumberFormat="1" applyFont="1" applyFill="1" applyBorder="1" applyAlignment="1">
      <alignment horizontal="right" vertical="top" wrapText="1"/>
    </xf>
    <xf numFmtId="2" fontId="57" fillId="0" borderId="10" xfId="0" applyNumberFormat="1" applyFont="1" applyBorder="1" applyAlignment="1">
      <alignment horizontal="right" vertical="top" wrapText="1"/>
    </xf>
    <xf numFmtId="0" fontId="57" fillId="36" borderId="24" xfId="0" applyFont="1" applyFill="1" applyBorder="1" applyAlignment="1">
      <alignment horizontal="right" vertical="top" wrapText="1"/>
    </xf>
    <xf numFmtId="0" fontId="58" fillId="0" borderId="10" xfId="0" applyFont="1" applyBorder="1" applyAlignment="1">
      <alignment horizontal="left" vertical="top" wrapText="1"/>
    </xf>
    <xf numFmtId="2" fontId="57" fillId="0" borderId="29" xfId="0" applyNumberFormat="1" applyFont="1" applyBorder="1" applyAlignment="1">
      <alignment horizontal="right" vertical="top" wrapText="1"/>
    </xf>
    <xf numFmtId="0" fontId="58" fillId="0" borderId="29" xfId="0" applyFont="1" applyBorder="1" applyAlignment="1">
      <alignment horizontal="left" vertical="top" wrapText="1"/>
    </xf>
    <xf numFmtId="0" fontId="55" fillId="36" borderId="29" xfId="0" applyFont="1" applyFill="1" applyBorder="1" applyAlignment="1">
      <alignment horizontal="right" vertical="top" wrapText="1"/>
    </xf>
    <xf numFmtId="2" fontId="55" fillId="0" borderId="24" xfId="0" applyNumberFormat="1" applyFont="1" applyBorder="1" applyAlignment="1">
      <alignment horizontal="right" vertical="top" wrapText="1"/>
    </xf>
    <xf numFmtId="172" fontId="55" fillId="0" borderId="10" xfId="0" applyNumberFormat="1" applyFont="1" applyBorder="1" applyAlignment="1">
      <alignment horizontal="right" vertical="top" wrapText="1"/>
    </xf>
    <xf numFmtId="0" fontId="55" fillId="0" borderId="24" xfId="0" applyFont="1" applyBorder="1" applyAlignment="1">
      <alignment vertical="top" wrapText="1"/>
    </xf>
    <xf numFmtId="0" fontId="55" fillId="0" borderId="29" xfId="0" applyFont="1" applyBorder="1" applyAlignment="1">
      <alignment horizontal="right" vertical="top" wrapText="1"/>
    </xf>
    <xf numFmtId="0" fontId="55" fillId="0" borderId="14" xfId="0" applyFont="1" applyBorder="1" applyAlignment="1">
      <alignment horizontal="right" vertical="top" wrapText="1"/>
    </xf>
    <xf numFmtId="0" fontId="55" fillId="0" borderId="29" xfId="0" applyFont="1" applyFill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1" fontId="55" fillId="0" borderId="24" xfId="0" applyNumberFormat="1" applyFont="1" applyBorder="1" applyAlignment="1">
      <alignment horizontal="right" vertical="top" wrapText="1"/>
    </xf>
    <xf numFmtId="0" fontId="55" fillId="37" borderId="10" xfId="0" applyFont="1" applyFill="1" applyBorder="1" applyAlignment="1">
      <alignment horizontal="right" vertical="top" wrapText="1"/>
    </xf>
    <xf numFmtId="2" fontId="55" fillId="0" borderId="24" xfId="0" applyNumberFormat="1" applyFont="1" applyBorder="1" applyAlignment="1">
      <alignment horizontal="right" vertical="top"/>
    </xf>
    <xf numFmtId="10" fontId="55" fillId="38" borderId="24" xfId="0" applyNumberFormat="1" applyFont="1" applyFill="1" applyBorder="1" applyAlignment="1">
      <alignment horizontal="right" vertical="top" wrapText="1"/>
    </xf>
    <xf numFmtId="1" fontId="0" fillId="37" borderId="17" xfId="0" applyNumberFormat="1" applyFill="1" applyBorder="1" applyAlignment="1">
      <alignment horizontal="right"/>
    </xf>
    <xf numFmtId="2" fontId="0" fillId="38" borderId="17" xfId="0" applyNumberFormat="1" applyFill="1" applyBorder="1" applyAlignment="1">
      <alignment horizontal="right"/>
    </xf>
    <xf numFmtId="2" fontId="0" fillId="0" borderId="17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59" fillId="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right"/>
    </xf>
    <xf numFmtId="0" fontId="0" fillId="36" borderId="17" xfId="0" applyFill="1" applyBorder="1" applyAlignment="1">
      <alignment horizontal="right"/>
    </xf>
    <xf numFmtId="2" fontId="0" fillId="36" borderId="17" xfId="0" applyNumberFormat="1" applyFill="1" applyBorder="1" applyAlignment="1">
      <alignment horizontal="right"/>
    </xf>
    <xf numFmtId="173" fontId="0" fillId="0" borderId="17" xfId="0" applyNumberFormat="1" applyBorder="1" applyAlignment="1">
      <alignment horizontal="right"/>
    </xf>
    <xf numFmtId="173" fontId="0" fillId="36" borderId="17" xfId="0" applyNumberFormat="1" applyFill="1" applyBorder="1" applyAlignment="1">
      <alignment horizontal="right"/>
    </xf>
    <xf numFmtId="0" fontId="23" fillId="0" borderId="17" xfId="0" applyFont="1" applyFill="1" applyBorder="1" applyAlignment="1">
      <alignment vertical="top" wrapText="1"/>
    </xf>
    <xf numFmtId="0" fontId="23" fillId="36" borderId="17" xfId="0" applyFont="1" applyFill="1" applyBorder="1" applyAlignment="1">
      <alignment vertical="top" wrapText="1"/>
    </xf>
    <xf numFmtId="1" fontId="23" fillId="0" borderId="17" xfId="0" applyNumberFormat="1" applyFont="1" applyFill="1" applyBorder="1" applyAlignment="1">
      <alignment vertical="top" wrapText="1"/>
    </xf>
    <xf numFmtId="1" fontId="23" fillId="36" borderId="17" xfId="0" applyNumberFormat="1" applyFont="1" applyFill="1" applyBorder="1" applyAlignment="1">
      <alignment vertical="top" wrapText="1"/>
    </xf>
    <xf numFmtId="2" fontId="23" fillId="0" borderId="17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6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5" max="5" width="13.421875" style="0" customWidth="1"/>
    <col min="6" max="6" width="12.00390625" style="0" bestFit="1" customWidth="1"/>
    <col min="7" max="7" width="11.28125" style="0" bestFit="1" customWidth="1"/>
    <col min="8" max="8" width="9.140625" style="0" customWidth="1"/>
    <col min="9" max="9" width="13.00390625" style="0" customWidth="1"/>
    <col min="10" max="10" width="12.28125" style="0" customWidth="1"/>
    <col min="11" max="11" width="13.00390625" style="0" customWidth="1"/>
    <col min="13" max="13" width="11.7109375" style="0" customWidth="1"/>
    <col min="14" max="14" width="6.421875" style="0" customWidth="1"/>
    <col min="15" max="15" width="7.00390625" style="0" customWidth="1"/>
  </cols>
  <sheetData>
    <row r="1" spans="1:15" ht="37.5" customHeight="1" thickBot="1">
      <c r="A1" s="34" t="s">
        <v>282</v>
      </c>
      <c r="B1" s="35"/>
      <c r="C1" s="35"/>
      <c r="D1" s="35"/>
      <c r="E1" s="35"/>
      <c r="F1" s="35"/>
      <c r="G1" s="35"/>
      <c r="I1" s="10"/>
      <c r="J1" s="4"/>
      <c r="K1" s="3"/>
      <c r="L1" s="16"/>
      <c r="M1" s="16"/>
      <c r="N1" s="16"/>
      <c r="O1" s="4"/>
    </row>
    <row r="2" spans="1:15" ht="17.25" customHeight="1" thickBot="1">
      <c r="A2" s="69" t="s">
        <v>283</v>
      </c>
      <c r="B2" s="70"/>
      <c r="C2" s="70"/>
      <c r="D2" s="71">
        <v>25</v>
      </c>
      <c r="E2" s="72" t="s">
        <v>3</v>
      </c>
      <c r="F2" s="29"/>
      <c r="G2" s="30"/>
      <c r="I2" s="10"/>
      <c r="J2" s="4"/>
      <c r="K2" s="13"/>
      <c r="L2" s="16"/>
      <c r="M2" s="16"/>
      <c r="N2" s="16"/>
      <c r="O2" s="4"/>
    </row>
    <row r="3" spans="1:15" ht="49.5" customHeight="1" thickBot="1">
      <c r="A3" s="66" t="s">
        <v>284</v>
      </c>
      <c r="B3" s="67"/>
      <c r="C3" s="67"/>
      <c r="D3" s="67"/>
      <c r="E3" s="67"/>
      <c r="F3" s="67"/>
      <c r="G3" s="68"/>
      <c r="I3" s="10"/>
      <c r="J3" s="4"/>
      <c r="K3" s="13"/>
      <c r="L3" s="16"/>
      <c r="M3" s="16"/>
      <c r="N3" s="16"/>
      <c r="O3" s="4"/>
    </row>
    <row r="4" spans="1:7" ht="15.75" thickBot="1">
      <c r="A4" s="53" t="s">
        <v>0</v>
      </c>
      <c r="B4" s="54"/>
      <c r="C4" s="54"/>
      <c r="D4" s="54"/>
      <c r="E4" s="55"/>
      <c r="F4" s="116">
        <v>209.5</v>
      </c>
      <c r="G4" s="78" t="s">
        <v>1</v>
      </c>
    </row>
    <row r="5" spans="1:7" ht="20.25" customHeight="1" thickBot="1">
      <c r="A5" s="57" t="s">
        <v>286</v>
      </c>
      <c r="B5" s="58"/>
      <c r="C5" s="58"/>
      <c r="D5" s="58"/>
      <c r="E5" s="59"/>
      <c r="F5" s="116">
        <v>206.2</v>
      </c>
      <c r="G5" s="120" t="s">
        <v>1</v>
      </c>
    </row>
    <row r="6" spans="1:7" ht="31.5" customHeight="1" thickBot="1">
      <c r="A6" s="57" t="s">
        <v>287</v>
      </c>
      <c r="B6" s="58"/>
      <c r="C6" s="58"/>
      <c r="D6" s="58"/>
      <c r="E6" s="59"/>
      <c r="F6" s="116">
        <v>215.68</v>
      </c>
      <c r="G6" s="120" t="s">
        <v>1</v>
      </c>
    </row>
    <row r="7" spans="1:7" ht="15.75" thickBot="1">
      <c r="A7" s="60" t="s">
        <v>2</v>
      </c>
      <c r="B7" s="61"/>
      <c r="C7" s="62"/>
      <c r="D7" s="62"/>
      <c r="E7" s="56"/>
      <c r="F7" s="117">
        <v>25</v>
      </c>
      <c r="G7" s="78" t="s">
        <v>3</v>
      </c>
    </row>
    <row r="8" spans="1:7" ht="18" thickBot="1">
      <c r="A8" s="60" t="s">
        <v>2</v>
      </c>
      <c r="B8" s="61"/>
      <c r="C8" s="62"/>
      <c r="D8" s="62"/>
      <c r="E8" s="56"/>
      <c r="F8" s="118">
        <f>(F7*1000)/(24*3600)</f>
        <v>0.28935185185185186</v>
      </c>
      <c r="G8" s="78" t="s">
        <v>288</v>
      </c>
    </row>
    <row r="9" spans="1:7" ht="16.5" customHeight="1" thickBot="1">
      <c r="A9" s="60" t="s">
        <v>236</v>
      </c>
      <c r="B9" s="61"/>
      <c r="C9" s="63" t="s">
        <v>237</v>
      </c>
      <c r="D9" s="63"/>
      <c r="E9" s="64">
        <v>2.25</v>
      </c>
      <c r="F9" s="119">
        <f>F7*2.25</f>
        <v>56.25</v>
      </c>
      <c r="G9" s="78" t="s">
        <v>3</v>
      </c>
    </row>
    <row r="10" spans="1:7" ht="18" thickBot="1">
      <c r="A10" s="60" t="s">
        <v>236</v>
      </c>
      <c r="B10" s="61"/>
      <c r="C10" s="62"/>
      <c r="D10" s="62"/>
      <c r="E10" s="56"/>
      <c r="F10" s="118">
        <f>(F9*1000)/(24*3600)</f>
        <v>0.6510416666666666</v>
      </c>
      <c r="G10" s="78" t="s">
        <v>288</v>
      </c>
    </row>
    <row r="11" spans="1:7" ht="15.75" thickBot="1">
      <c r="A11" s="60" t="s">
        <v>4</v>
      </c>
      <c r="B11" s="61"/>
      <c r="C11" s="62"/>
      <c r="D11" s="62" t="s">
        <v>238</v>
      </c>
      <c r="E11" s="65">
        <v>2</v>
      </c>
      <c r="F11" s="119">
        <f>F7/E11</f>
        <v>12.5</v>
      </c>
      <c r="G11" s="78" t="s">
        <v>3</v>
      </c>
    </row>
    <row r="12" spans="1:7" ht="18" thickBot="1">
      <c r="A12" s="60" t="s">
        <v>4</v>
      </c>
      <c r="B12" s="61"/>
      <c r="C12" s="62"/>
      <c r="D12" s="62"/>
      <c r="E12" s="56"/>
      <c r="F12" s="118">
        <f>(F11*1000)/(24*3600)</f>
        <v>0.14467592592592593</v>
      </c>
      <c r="G12" s="78" t="s">
        <v>288</v>
      </c>
    </row>
    <row r="13" spans="1:9" ht="16.5" customHeight="1" thickBot="1">
      <c r="A13" s="31" t="s">
        <v>123</v>
      </c>
      <c r="B13" s="32"/>
      <c r="C13" s="32"/>
      <c r="D13" s="32"/>
      <c r="E13" s="32"/>
      <c r="F13" s="32"/>
      <c r="G13" s="33"/>
      <c r="I13" s="9"/>
    </row>
    <row r="14" spans="1:7" ht="15.75" thickBot="1">
      <c r="A14" s="73" t="s">
        <v>11</v>
      </c>
      <c r="B14" s="74"/>
      <c r="C14" s="74"/>
      <c r="D14" s="74"/>
      <c r="E14" s="75"/>
      <c r="F14" s="121">
        <f>F7*2.25</f>
        <v>56.25</v>
      </c>
      <c r="G14" s="78" t="s">
        <v>3</v>
      </c>
    </row>
    <row r="15" spans="1:7" ht="18" customHeight="1" thickBot="1">
      <c r="A15" s="73" t="s">
        <v>11</v>
      </c>
      <c r="B15" s="74"/>
      <c r="C15" s="74"/>
      <c r="D15" s="74"/>
      <c r="E15" s="75"/>
      <c r="F15" s="118">
        <f>(F14*1000)/(24*3600)</f>
        <v>0.6510416666666666</v>
      </c>
      <c r="G15" s="78" t="s">
        <v>288</v>
      </c>
    </row>
    <row r="16" spans="1:7" ht="16.5" customHeight="1" thickBot="1">
      <c r="A16" s="53" t="s">
        <v>124</v>
      </c>
      <c r="B16" s="54"/>
      <c r="C16" s="54"/>
      <c r="D16" s="54"/>
      <c r="E16" s="55"/>
      <c r="F16" s="65">
        <v>15</v>
      </c>
      <c r="G16" s="78" t="s">
        <v>121</v>
      </c>
    </row>
    <row r="17" spans="1:14" ht="16.5" customHeight="1" thickBot="1">
      <c r="A17" s="60" t="s">
        <v>6</v>
      </c>
      <c r="B17" s="61"/>
      <c r="C17" s="61"/>
      <c r="D17" s="61"/>
      <c r="E17" s="76"/>
      <c r="F17" s="118">
        <f>F16*F15</f>
        <v>9.765625</v>
      </c>
      <c r="G17" s="78" t="s">
        <v>122</v>
      </c>
      <c r="N17" s="5"/>
    </row>
    <row r="18" spans="1:7" ht="17.25" customHeight="1" thickBot="1">
      <c r="A18" s="60" t="s">
        <v>7</v>
      </c>
      <c r="B18" s="61"/>
      <c r="C18" s="61"/>
      <c r="D18" s="61"/>
      <c r="E18" s="76"/>
      <c r="F18" s="65">
        <v>0.8</v>
      </c>
      <c r="G18" s="78" t="s">
        <v>1</v>
      </c>
    </row>
    <row r="19" spans="1:14" ht="18" thickBot="1">
      <c r="A19" s="60" t="s">
        <v>8</v>
      </c>
      <c r="B19" s="61"/>
      <c r="C19" s="61"/>
      <c r="D19" s="61"/>
      <c r="E19" s="76"/>
      <c r="F19" s="118">
        <f>F17/F18</f>
        <v>12.20703125</v>
      </c>
      <c r="G19" s="78" t="s">
        <v>289</v>
      </c>
      <c r="N19" s="5"/>
    </row>
    <row r="20" spans="1:14" ht="15.75" thickBot="1">
      <c r="A20" s="60" t="s">
        <v>144</v>
      </c>
      <c r="B20" s="61"/>
      <c r="C20" s="61"/>
      <c r="D20" s="61"/>
      <c r="E20" s="76"/>
      <c r="F20" s="122">
        <f>F19^0.5</f>
        <v>3.4938562148434213</v>
      </c>
      <c r="G20" s="78" t="s">
        <v>1</v>
      </c>
      <c r="N20" s="5"/>
    </row>
    <row r="21" spans="1:14" ht="15.75" thickBot="1">
      <c r="A21" s="60" t="s">
        <v>145</v>
      </c>
      <c r="B21" s="61"/>
      <c r="C21" s="61"/>
      <c r="D21" s="61"/>
      <c r="E21" s="76"/>
      <c r="F21" s="122">
        <f>F19/F20</f>
        <v>3.4938562148434213</v>
      </c>
      <c r="G21" s="78" t="s">
        <v>1</v>
      </c>
      <c r="N21" s="5"/>
    </row>
    <row r="22" spans="1:7" ht="43.5" customHeight="1" thickBot="1">
      <c r="A22" s="60" t="s">
        <v>290</v>
      </c>
      <c r="B22" s="61"/>
      <c r="C22" s="61"/>
      <c r="D22" s="61"/>
      <c r="E22" s="76"/>
      <c r="F22" s="116">
        <v>0.8</v>
      </c>
      <c r="G22" s="78" t="s">
        <v>1</v>
      </c>
    </row>
    <row r="23" spans="1:7" ht="16.5" thickBot="1">
      <c r="A23" s="23" t="s">
        <v>10</v>
      </c>
      <c r="B23" s="24"/>
      <c r="C23" s="24"/>
      <c r="D23" s="24"/>
      <c r="E23" s="11"/>
      <c r="F23" s="11"/>
      <c r="G23" s="12"/>
    </row>
    <row r="24" spans="1:7" ht="15.75" thickBot="1">
      <c r="A24" s="60" t="s">
        <v>11</v>
      </c>
      <c r="B24" s="61"/>
      <c r="C24" s="77"/>
      <c r="D24" s="77"/>
      <c r="E24" s="78"/>
      <c r="F24" s="118">
        <f>F15</f>
        <v>0.6510416666666666</v>
      </c>
      <c r="G24" s="78" t="s">
        <v>5</v>
      </c>
    </row>
    <row r="25" spans="1:7" ht="19.5" customHeight="1" thickBot="1">
      <c r="A25" s="60" t="s">
        <v>239</v>
      </c>
      <c r="B25" s="61"/>
      <c r="C25" s="61"/>
      <c r="D25" s="61"/>
      <c r="E25" s="76"/>
      <c r="F25" s="123">
        <v>50</v>
      </c>
      <c r="G25" s="78" t="s">
        <v>12</v>
      </c>
    </row>
    <row r="26" spans="1:7" ht="15.75" thickBot="1">
      <c r="A26" s="60" t="s">
        <v>125</v>
      </c>
      <c r="B26" s="61"/>
      <c r="C26" s="61"/>
      <c r="D26" s="77"/>
      <c r="E26" s="78"/>
      <c r="F26" s="117">
        <v>0.9</v>
      </c>
      <c r="G26" s="78" t="s">
        <v>13</v>
      </c>
    </row>
    <row r="27" spans="1:10" ht="15.75" thickBot="1">
      <c r="A27" s="60" t="s">
        <v>14</v>
      </c>
      <c r="B27" s="61"/>
      <c r="C27" s="61"/>
      <c r="D27" s="77"/>
      <c r="E27" s="78"/>
      <c r="F27" s="117">
        <v>0.7</v>
      </c>
      <c r="G27" s="78" t="s">
        <v>15</v>
      </c>
      <c r="J27" s="14"/>
    </row>
    <row r="28" spans="1:7" ht="15.75" thickBot="1">
      <c r="A28" s="60" t="s">
        <v>16</v>
      </c>
      <c r="B28" s="61"/>
      <c r="C28" s="77"/>
      <c r="D28" s="77"/>
      <c r="E28" s="78"/>
      <c r="F28" s="118">
        <f>F24/F27</f>
        <v>0.9300595238095238</v>
      </c>
      <c r="G28" s="78" t="s">
        <v>17</v>
      </c>
    </row>
    <row r="29" spans="1:7" ht="20.25" customHeight="1" thickBot="1">
      <c r="A29" s="60" t="s">
        <v>18</v>
      </c>
      <c r="B29" s="61"/>
      <c r="C29" s="61"/>
      <c r="D29" s="61"/>
      <c r="E29" s="76"/>
      <c r="F29" s="65">
        <v>45</v>
      </c>
      <c r="G29" s="78" t="s">
        <v>19</v>
      </c>
    </row>
    <row r="30" spans="1:7" ht="21.75" customHeight="1" thickBot="1">
      <c r="A30" s="60" t="s">
        <v>240</v>
      </c>
      <c r="B30" s="61"/>
      <c r="C30" s="61"/>
      <c r="D30" s="61"/>
      <c r="E30" s="76"/>
      <c r="F30" s="118">
        <f>COS(45*3.14/180)</f>
        <v>0.7073882691671998</v>
      </c>
      <c r="G30" s="78"/>
    </row>
    <row r="31" spans="1:7" ht="21.75" customHeight="1" thickBot="1">
      <c r="A31" s="60" t="s">
        <v>132</v>
      </c>
      <c r="B31" s="61"/>
      <c r="C31" s="61"/>
      <c r="D31" s="61"/>
      <c r="E31" s="76"/>
      <c r="F31" s="124">
        <v>0.6</v>
      </c>
      <c r="G31" s="78" t="s">
        <v>102</v>
      </c>
    </row>
    <row r="32" spans="1:7" ht="18.75" customHeight="1" thickBot="1">
      <c r="A32" s="60" t="s">
        <v>149</v>
      </c>
      <c r="B32" s="61"/>
      <c r="C32" s="61"/>
      <c r="D32" s="61"/>
      <c r="E32" s="76"/>
      <c r="F32" s="118">
        <f>(F26+F31)/F30</f>
        <v>2.120476215651601</v>
      </c>
      <c r="G32" s="78"/>
    </row>
    <row r="33" spans="1:7" ht="15.75" thickBot="1">
      <c r="A33" s="60" t="s">
        <v>20</v>
      </c>
      <c r="B33" s="61"/>
      <c r="C33" s="61"/>
      <c r="D33" s="61"/>
      <c r="E33" s="76"/>
      <c r="F33" s="118">
        <f>F28/F26</f>
        <v>1.033399470899471</v>
      </c>
      <c r="G33" s="78" t="s">
        <v>21</v>
      </c>
    </row>
    <row r="34" spans="1:7" ht="15.75" thickBot="1">
      <c r="A34" s="60" t="s">
        <v>22</v>
      </c>
      <c r="B34" s="61"/>
      <c r="C34" s="77"/>
      <c r="D34" s="77"/>
      <c r="E34" s="78"/>
      <c r="F34" s="125">
        <f>F33/0.05</f>
        <v>20.667989417989418</v>
      </c>
      <c r="G34" s="78" t="s">
        <v>23</v>
      </c>
    </row>
    <row r="35" spans="1:7" ht="15.75" thickBot="1">
      <c r="A35" s="60" t="s">
        <v>24</v>
      </c>
      <c r="B35" s="61"/>
      <c r="C35" s="77"/>
      <c r="D35" s="77"/>
      <c r="E35" s="78"/>
      <c r="F35" s="125">
        <f>F34-1</f>
        <v>19.667989417989418</v>
      </c>
      <c r="G35" s="78" t="s">
        <v>23</v>
      </c>
    </row>
    <row r="36" spans="1:7" ht="18" customHeight="1" thickBot="1">
      <c r="A36" s="60" t="s">
        <v>25</v>
      </c>
      <c r="B36" s="61"/>
      <c r="C36" s="61"/>
      <c r="D36" s="61"/>
      <c r="E36" s="76"/>
      <c r="F36" s="117">
        <v>10</v>
      </c>
      <c r="G36" s="78" t="s">
        <v>26</v>
      </c>
    </row>
    <row r="37" spans="1:7" ht="16.5" customHeight="1" thickBot="1">
      <c r="A37" s="60" t="s">
        <v>27</v>
      </c>
      <c r="B37" s="61"/>
      <c r="C37" s="61"/>
      <c r="D37" s="61"/>
      <c r="E37" s="76"/>
      <c r="F37" s="125">
        <f>F34*F25+F35*F36</f>
        <v>1230.0793650793653</v>
      </c>
      <c r="G37" s="78" t="s">
        <v>12</v>
      </c>
    </row>
    <row r="38" spans="1:7" ht="20.25" customHeight="1" thickBot="1">
      <c r="A38" s="57" t="s">
        <v>28</v>
      </c>
      <c r="B38" s="58"/>
      <c r="C38" s="58"/>
      <c r="D38" s="58"/>
      <c r="E38" s="59"/>
      <c r="F38" s="117">
        <v>50</v>
      </c>
      <c r="G38" s="120" t="s">
        <v>12</v>
      </c>
    </row>
    <row r="39" spans="1:7" ht="16.5" customHeight="1" thickBot="1">
      <c r="A39" s="60" t="s">
        <v>146</v>
      </c>
      <c r="B39" s="61"/>
      <c r="C39" s="61"/>
      <c r="D39" s="61"/>
      <c r="E39" s="76"/>
      <c r="F39" s="119">
        <f>ROUNDUP((F37+2*F38),0)</f>
        <v>1331</v>
      </c>
      <c r="G39" s="78" t="s">
        <v>12</v>
      </c>
    </row>
    <row r="40" spans="1:7" ht="16.5" customHeight="1" thickBot="1">
      <c r="A40" s="60" t="s">
        <v>147</v>
      </c>
      <c r="B40" s="61"/>
      <c r="C40" s="61"/>
      <c r="D40" s="61"/>
      <c r="E40" s="76"/>
      <c r="F40" s="125">
        <f>(F39+F36)/(F25+F36)</f>
        <v>22.35</v>
      </c>
      <c r="G40" s="78"/>
    </row>
    <row r="41" spans="1:7" ht="16.5" customHeight="1" thickBot="1">
      <c r="A41" s="60" t="s">
        <v>148</v>
      </c>
      <c r="B41" s="61"/>
      <c r="C41" s="61"/>
      <c r="D41" s="61"/>
      <c r="E41" s="76"/>
      <c r="F41" s="125">
        <f>F40-1</f>
        <v>21.35</v>
      </c>
      <c r="G41" s="78"/>
    </row>
    <row r="42" spans="1:7" ht="15" customHeight="1" thickBot="1">
      <c r="A42" s="60" t="s">
        <v>150</v>
      </c>
      <c r="B42" s="61"/>
      <c r="C42" s="61"/>
      <c r="D42" s="61"/>
      <c r="E42" s="76"/>
      <c r="F42" s="122">
        <f>F39/1000</f>
        <v>1.331</v>
      </c>
      <c r="G42" s="78" t="s">
        <v>102</v>
      </c>
    </row>
    <row r="43" spans="1:7" ht="16.5" customHeight="1" thickBot="1">
      <c r="A43" s="60" t="s">
        <v>241</v>
      </c>
      <c r="B43" s="61"/>
      <c r="C43" s="61"/>
      <c r="D43" s="61"/>
      <c r="E43" s="76"/>
      <c r="F43" s="126">
        <v>4</v>
      </c>
      <c r="G43" s="78" t="s">
        <v>102</v>
      </c>
    </row>
    <row r="44" spans="1:7" ht="15" customHeight="1" thickBot="1">
      <c r="A44" s="60" t="s">
        <v>159</v>
      </c>
      <c r="B44" s="61"/>
      <c r="C44" s="61"/>
      <c r="D44" s="61"/>
      <c r="E44" s="61"/>
      <c r="F44" s="127">
        <f>F24/(F42*F26)</f>
        <v>0.5434858224114423</v>
      </c>
      <c r="G44" s="78"/>
    </row>
    <row r="45" spans="1:7" ht="15" customHeight="1" thickBot="1">
      <c r="A45" s="60" t="s">
        <v>160</v>
      </c>
      <c r="B45" s="61"/>
      <c r="C45" s="61"/>
      <c r="D45" s="61"/>
      <c r="E45" s="61"/>
      <c r="F45" s="128">
        <f>F24/(F26*((F40*F25)/1000))</f>
        <v>0.647319579086917</v>
      </c>
      <c r="G45" s="78"/>
    </row>
    <row r="46" spans="1:7" ht="15" customHeight="1" thickBot="1">
      <c r="A46" s="60" t="s">
        <v>151</v>
      </c>
      <c r="B46" s="61"/>
      <c r="C46" s="61"/>
      <c r="D46" s="61"/>
      <c r="E46" s="61"/>
      <c r="F46" s="129">
        <f>(F45^2-F44^2)/(2*9.81)</f>
        <v>0.006302028456015369</v>
      </c>
      <c r="G46" s="78" t="s">
        <v>102</v>
      </c>
    </row>
    <row r="47" spans="1:7" ht="15" customHeight="1" thickBot="1">
      <c r="A47" s="60" t="s">
        <v>152</v>
      </c>
      <c r="B47" s="61"/>
      <c r="C47" s="61"/>
      <c r="D47" s="61"/>
      <c r="E47" s="61"/>
      <c r="F47" s="128">
        <f>F45*2</f>
        <v>1.294639158173834</v>
      </c>
      <c r="G47" s="78" t="s">
        <v>135</v>
      </c>
    </row>
    <row r="48" spans="1:7" ht="13.5" customHeight="1" thickBot="1">
      <c r="A48" s="60" t="s">
        <v>153</v>
      </c>
      <c r="B48" s="61"/>
      <c r="C48" s="61"/>
      <c r="D48" s="61"/>
      <c r="E48" s="61"/>
      <c r="F48" s="130">
        <f>(F47^2-F44^2)/(2*9.81)</f>
        <v>0.07037276813021465</v>
      </c>
      <c r="G48" s="78" t="s">
        <v>102</v>
      </c>
    </row>
    <row r="49" spans="1:7" ht="16.5" customHeight="1" thickBot="1">
      <c r="A49" s="20" t="s">
        <v>34</v>
      </c>
      <c r="B49" s="21"/>
      <c r="C49" s="21"/>
      <c r="D49" s="21"/>
      <c r="E49" s="21"/>
      <c r="F49" s="21"/>
      <c r="G49" s="22"/>
    </row>
    <row r="50" spans="1:7" ht="16.5" customHeight="1" thickBot="1">
      <c r="A50" s="89" t="s">
        <v>35</v>
      </c>
      <c r="B50" s="90"/>
      <c r="C50" s="91"/>
      <c r="D50" s="91"/>
      <c r="E50" s="92"/>
      <c r="F50" s="118">
        <f>F24</f>
        <v>0.6510416666666666</v>
      </c>
      <c r="G50" s="142" t="s">
        <v>5</v>
      </c>
    </row>
    <row r="51" spans="1:13" ht="20.25" customHeight="1" thickBot="1">
      <c r="A51" s="89" t="s">
        <v>36</v>
      </c>
      <c r="B51" s="90"/>
      <c r="C51" s="90"/>
      <c r="D51" s="90"/>
      <c r="E51" s="94"/>
      <c r="F51" s="131">
        <v>2</v>
      </c>
      <c r="G51" s="142" t="s">
        <v>30</v>
      </c>
      <c r="M51" s="3"/>
    </row>
    <row r="52" spans="1:13" ht="21" customHeight="1" thickBot="1">
      <c r="A52" s="95" t="s">
        <v>162</v>
      </c>
      <c r="B52" s="96"/>
      <c r="C52" s="96"/>
      <c r="D52" s="96"/>
      <c r="E52" s="97"/>
      <c r="F52" s="131">
        <v>0.8</v>
      </c>
      <c r="G52" s="142" t="s">
        <v>15</v>
      </c>
      <c r="L52" s="13"/>
      <c r="M52" s="13"/>
    </row>
    <row r="53" spans="1:13" ht="18.75" customHeight="1" thickBot="1">
      <c r="A53" s="95" t="s">
        <v>8</v>
      </c>
      <c r="B53" s="96"/>
      <c r="C53" s="96"/>
      <c r="D53" s="96"/>
      <c r="E53" s="97"/>
      <c r="F53" s="132">
        <f>F24/F52</f>
        <v>0.8138020833333333</v>
      </c>
      <c r="G53" s="142" t="s">
        <v>289</v>
      </c>
      <c r="L53" s="13"/>
      <c r="M53" s="13"/>
    </row>
    <row r="54" spans="1:13" ht="17.25" customHeight="1" thickBot="1">
      <c r="A54" s="95" t="s">
        <v>37</v>
      </c>
      <c r="B54" s="96"/>
      <c r="C54" s="96"/>
      <c r="D54" s="96"/>
      <c r="E54" s="97"/>
      <c r="F54" s="133">
        <v>0.7</v>
      </c>
      <c r="G54" s="142" t="s">
        <v>13</v>
      </c>
      <c r="L54" s="13"/>
      <c r="M54" s="13"/>
    </row>
    <row r="55" spans="1:14" ht="16.5" customHeight="1" thickBot="1">
      <c r="A55" s="95" t="s">
        <v>156</v>
      </c>
      <c r="B55" s="96"/>
      <c r="C55" s="96"/>
      <c r="D55" s="96"/>
      <c r="E55" s="97"/>
      <c r="F55" s="132">
        <f>F53/F54</f>
        <v>1.1625744047619047</v>
      </c>
      <c r="G55" s="142" t="s">
        <v>13</v>
      </c>
      <c r="L55" s="14"/>
      <c r="M55" s="14"/>
      <c r="N55" s="5"/>
    </row>
    <row r="56" spans="1:13" ht="16.5" customHeight="1" thickBot="1">
      <c r="A56" s="95" t="s">
        <v>157</v>
      </c>
      <c r="B56" s="96"/>
      <c r="C56" s="96"/>
      <c r="D56" s="96"/>
      <c r="E56" s="97"/>
      <c r="F56" s="134">
        <f>F55*1000/F60</f>
        <v>77.5049603174603</v>
      </c>
      <c r="G56" s="142"/>
      <c r="L56" s="14"/>
      <c r="M56" s="14"/>
    </row>
    <row r="57" spans="1:13" ht="16.5" customHeight="1" thickBot="1">
      <c r="A57" s="95" t="s">
        <v>136</v>
      </c>
      <c r="B57" s="96"/>
      <c r="C57" s="96"/>
      <c r="D57" s="96"/>
      <c r="E57" s="97"/>
      <c r="F57" s="134">
        <f>F56-1</f>
        <v>76.5049603174603</v>
      </c>
      <c r="G57" s="142"/>
      <c r="L57" s="8"/>
      <c r="M57" s="8"/>
    </row>
    <row r="58" spans="1:13" ht="16.5" customHeight="1" thickBot="1">
      <c r="A58" s="95" t="s">
        <v>158</v>
      </c>
      <c r="B58" s="96"/>
      <c r="C58" s="96"/>
      <c r="D58" s="96"/>
      <c r="E58" s="97"/>
      <c r="F58" s="134">
        <f>F56*F60+F57*F61</f>
        <v>1927.6240079365075</v>
      </c>
      <c r="G58" s="142"/>
      <c r="L58" s="8"/>
      <c r="M58" s="8"/>
    </row>
    <row r="59" spans="1:13" ht="16.5" customHeight="1" thickBot="1">
      <c r="A59" s="89" t="s">
        <v>38</v>
      </c>
      <c r="B59" s="90"/>
      <c r="C59" s="90"/>
      <c r="D59" s="90"/>
      <c r="E59" s="94"/>
      <c r="F59" s="131">
        <v>75</v>
      </c>
      <c r="G59" s="142" t="s">
        <v>19</v>
      </c>
      <c r="L59" s="14"/>
      <c r="M59" s="14"/>
    </row>
    <row r="60" spans="1:13" ht="18" customHeight="1" thickBot="1">
      <c r="A60" s="89" t="s">
        <v>39</v>
      </c>
      <c r="B60" s="90"/>
      <c r="C60" s="90"/>
      <c r="D60" s="90"/>
      <c r="E60" s="94"/>
      <c r="F60" s="135">
        <v>15</v>
      </c>
      <c r="G60" s="142" t="s">
        <v>12</v>
      </c>
      <c r="L60" s="14"/>
      <c r="M60" s="14"/>
    </row>
    <row r="61" spans="1:13" ht="29.25" customHeight="1" thickBot="1">
      <c r="A61" s="95" t="s">
        <v>40</v>
      </c>
      <c r="B61" s="96"/>
      <c r="C61" s="96"/>
      <c r="D61" s="96"/>
      <c r="E61" s="97"/>
      <c r="F61" s="131">
        <v>10</v>
      </c>
      <c r="G61" s="142" t="s">
        <v>161</v>
      </c>
      <c r="L61" s="14"/>
      <c r="M61" s="14"/>
    </row>
    <row r="62" spans="1:13" ht="13.5" customHeight="1" thickBot="1">
      <c r="A62" s="89" t="s">
        <v>41</v>
      </c>
      <c r="B62" s="90"/>
      <c r="C62" s="90"/>
      <c r="D62" s="91"/>
      <c r="E62" s="92"/>
      <c r="F62" s="131">
        <v>2000</v>
      </c>
      <c r="G62" s="142" t="s">
        <v>12</v>
      </c>
      <c r="L62" s="6"/>
      <c r="M62" s="6"/>
    </row>
    <row r="63" spans="1:13" ht="16.5" customHeight="1" thickBot="1">
      <c r="A63" s="89" t="s">
        <v>42</v>
      </c>
      <c r="B63" s="90"/>
      <c r="C63" s="90"/>
      <c r="D63" s="91"/>
      <c r="E63" s="92"/>
      <c r="F63" s="134">
        <f>(F62+F61)/(F60+F61)</f>
        <v>80.4</v>
      </c>
      <c r="G63" s="142" t="s">
        <v>30</v>
      </c>
      <c r="L63" s="14"/>
      <c r="M63" s="14"/>
    </row>
    <row r="64" spans="1:13" ht="16.5" customHeight="1" thickBot="1">
      <c r="A64" s="89" t="s">
        <v>43</v>
      </c>
      <c r="B64" s="90"/>
      <c r="C64" s="90"/>
      <c r="D64" s="90"/>
      <c r="E64" s="94"/>
      <c r="F64" s="134">
        <f>F63-1</f>
        <v>79.4</v>
      </c>
      <c r="G64" s="142" t="s">
        <v>30</v>
      </c>
      <c r="L64" s="14"/>
      <c r="M64" s="14"/>
    </row>
    <row r="65" spans="1:13" ht="16.5" customHeight="1" thickBot="1">
      <c r="A65" s="89" t="s">
        <v>132</v>
      </c>
      <c r="B65" s="90"/>
      <c r="C65" s="90"/>
      <c r="D65" s="90"/>
      <c r="E65" s="94"/>
      <c r="F65" s="131">
        <v>0.6</v>
      </c>
      <c r="G65" s="142" t="s">
        <v>102</v>
      </c>
      <c r="L65" s="14"/>
      <c r="M65" s="14"/>
    </row>
    <row r="66" spans="1:13" ht="17.25" customHeight="1" thickBot="1">
      <c r="A66" s="95" t="s">
        <v>242</v>
      </c>
      <c r="B66" s="96"/>
      <c r="C66" s="96"/>
      <c r="D66" s="96"/>
      <c r="E66" s="97"/>
      <c r="F66" s="136">
        <f>COS((3.14*(90-F59)/180))</f>
        <v>0.9659601685383986</v>
      </c>
      <c r="G66" s="142"/>
      <c r="L66" s="14"/>
      <c r="M66" s="14"/>
    </row>
    <row r="67" spans="1:14" ht="14.25" customHeight="1" thickBot="1">
      <c r="A67" s="95" t="s">
        <v>126</v>
      </c>
      <c r="B67" s="96"/>
      <c r="C67" s="96"/>
      <c r="D67" s="96"/>
      <c r="E67" s="97"/>
      <c r="F67" s="137">
        <f>(F54+F65)/F66</f>
        <v>1.3458111859488362</v>
      </c>
      <c r="G67" s="142" t="s">
        <v>102</v>
      </c>
      <c r="L67" s="14"/>
      <c r="M67" s="14"/>
      <c r="N67" s="5"/>
    </row>
    <row r="68" spans="1:14" ht="15.75" thickBot="1">
      <c r="A68" s="95" t="s">
        <v>154</v>
      </c>
      <c r="B68" s="96"/>
      <c r="C68" s="96"/>
      <c r="D68" s="96"/>
      <c r="E68" s="97"/>
      <c r="F68" s="138">
        <v>1.5</v>
      </c>
      <c r="G68" s="142" t="s">
        <v>102</v>
      </c>
      <c r="L68" s="14"/>
      <c r="M68" s="14"/>
      <c r="N68" s="5"/>
    </row>
    <row r="69" spans="1:13" ht="15" customHeight="1" thickBot="1">
      <c r="A69" s="89" t="s">
        <v>155</v>
      </c>
      <c r="B69" s="90"/>
      <c r="C69" s="90"/>
      <c r="D69" s="90"/>
      <c r="E69" s="94"/>
      <c r="F69" s="139">
        <f>F68+F67</f>
        <v>2.845811185948836</v>
      </c>
      <c r="G69" s="142"/>
      <c r="L69" s="13"/>
      <c r="M69" s="13"/>
    </row>
    <row r="70" spans="1:13" ht="15.75" thickBot="1">
      <c r="A70" s="89" t="s">
        <v>27</v>
      </c>
      <c r="B70" s="90"/>
      <c r="C70" s="90"/>
      <c r="D70" s="91"/>
      <c r="E70" s="92"/>
      <c r="F70" s="140">
        <f>F62/1000</f>
        <v>2</v>
      </c>
      <c r="G70" s="142" t="s">
        <v>13</v>
      </c>
      <c r="L70" s="14"/>
      <c r="M70" s="14"/>
    </row>
    <row r="71" spans="1:13" ht="15.75" thickBot="1">
      <c r="A71" s="95" t="s">
        <v>159</v>
      </c>
      <c r="B71" s="96"/>
      <c r="C71" s="96"/>
      <c r="D71" s="96"/>
      <c r="E71" s="97"/>
      <c r="F71" s="132">
        <f>F50/(F54*F70)</f>
        <v>0.4650297619047619</v>
      </c>
      <c r="G71" s="142" t="s">
        <v>135</v>
      </c>
      <c r="L71" s="8"/>
      <c r="M71" s="8"/>
    </row>
    <row r="72" spans="1:13" ht="15.75" thickBot="1">
      <c r="A72" s="95" t="s">
        <v>160</v>
      </c>
      <c r="B72" s="96"/>
      <c r="C72" s="96"/>
      <c r="D72" s="96"/>
      <c r="E72" s="97"/>
      <c r="F72" s="132">
        <f>F50/(F54*F63*(F60/1000))</f>
        <v>0.7711936349996051</v>
      </c>
      <c r="G72" s="142" t="s">
        <v>135</v>
      </c>
      <c r="L72" s="8"/>
      <c r="M72" s="8"/>
    </row>
    <row r="73" spans="1:13" ht="15.75" thickBot="1">
      <c r="A73" s="95" t="s">
        <v>163</v>
      </c>
      <c r="B73" s="96"/>
      <c r="C73" s="96"/>
      <c r="D73" s="96"/>
      <c r="E73" s="97"/>
      <c r="F73" s="141">
        <f>(F72^2-F71^2)/(2*9.81)</f>
        <v>0.019290873761809615</v>
      </c>
      <c r="G73" s="142" t="s">
        <v>102</v>
      </c>
      <c r="L73" s="8"/>
      <c r="M73" s="8"/>
    </row>
    <row r="74" spans="1:13" ht="18" customHeight="1" thickBot="1">
      <c r="A74" s="95" t="s">
        <v>164</v>
      </c>
      <c r="B74" s="96"/>
      <c r="C74" s="96"/>
      <c r="D74" s="96"/>
      <c r="E74" s="97"/>
      <c r="F74" s="141">
        <f>F72*2</f>
        <v>1.5423872699992103</v>
      </c>
      <c r="G74" s="142"/>
      <c r="L74" s="8"/>
      <c r="M74" s="8"/>
    </row>
    <row r="75" spans="1:13" ht="15.75" customHeight="1" thickBot="1">
      <c r="A75" s="95" t="s">
        <v>153</v>
      </c>
      <c r="B75" s="96"/>
      <c r="C75" s="96"/>
      <c r="D75" s="96"/>
      <c r="E75" s="97"/>
      <c r="F75" s="141">
        <f>(F74^2-F71^2)/(2*9.81)</f>
        <v>0.11022965398564817</v>
      </c>
      <c r="G75" s="142"/>
      <c r="L75" s="8"/>
      <c r="M75" s="8"/>
    </row>
    <row r="76" spans="1:13" ht="16.5" thickBot="1">
      <c r="A76" s="98" t="s">
        <v>291</v>
      </c>
      <c r="B76" s="99"/>
      <c r="C76" s="99"/>
      <c r="D76" s="99"/>
      <c r="E76" s="100"/>
      <c r="F76" s="1"/>
      <c r="G76" s="143"/>
      <c r="L76" s="14"/>
      <c r="M76" s="14"/>
    </row>
    <row r="77" spans="1:13" ht="16.5" customHeight="1" thickBot="1">
      <c r="A77" s="20" t="s">
        <v>45</v>
      </c>
      <c r="B77" s="21"/>
      <c r="C77" s="21"/>
      <c r="D77" s="21"/>
      <c r="E77" s="21"/>
      <c r="F77" s="21"/>
      <c r="G77" s="22"/>
      <c r="L77" s="15"/>
      <c r="M77" s="15"/>
    </row>
    <row r="78" spans="1:13" ht="16.5" thickBot="1">
      <c r="A78" s="89" t="s">
        <v>46</v>
      </c>
      <c r="B78" s="90"/>
      <c r="C78" s="90"/>
      <c r="D78" s="91"/>
      <c r="E78" s="92"/>
      <c r="F78" s="88"/>
      <c r="G78" s="83"/>
      <c r="L78" s="14"/>
      <c r="M78" s="14"/>
    </row>
    <row r="79" spans="1:13" ht="48.75" customHeight="1" thickBot="1">
      <c r="A79" s="79" t="s">
        <v>47</v>
      </c>
      <c r="B79" s="80"/>
      <c r="C79" s="80"/>
      <c r="D79" s="80"/>
      <c r="E79" s="80"/>
      <c r="F79" s="80"/>
      <c r="G79" s="80"/>
      <c r="I79" s="7"/>
      <c r="L79" s="13"/>
      <c r="M79" s="13"/>
    </row>
    <row r="80" spans="1:13" ht="20.25" customHeight="1" thickBot="1">
      <c r="A80" s="79" t="s">
        <v>292</v>
      </c>
      <c r="B80" s="80"/>
      <c r="C80" s="80"/>
      <c r="D80" s="80"/>
      <c r="E80" s="84"/>
      <c r="F80" s="88"/>
      <c r="G80" s="83"/>
      <c r="I80" s="7"/>
      <c r="L80" s="13"/>
      <c r="M80" s="13"/>
    </row>
    <row r="81" spans="1:9" ht="33.75" customHeight="1" thickBot="1">
      <c r="A81" s="79" t="s">
        <v>293</v>
      </c>
      <c r="B81" s="80"/>
      <c r="C81" s="80"/>
      <c r="D81" s="80"/>
      <c r="E81" s="84"/>
      <c r="F81" s="101"/>
      <c r="G81" s="83"/>
      <c r="I81" s="7"/>
    </row>
    <row r="82" spans="1:7" ht="20.25" customHeight="1" thickBot="1">
      <c r="A82" s="79" t="s">
        <v>294</v>
      </c>
      <c r="B82" s="80"/>
      <c r="C82" s="80"/>
      <c r="D82" s="80"/>
      <c r="E82" s="80"/>
      <c r="F82" s="84"/>
      <c r="G82" s="102"/>
    </row>
    <row r="83" spans="1:7" ht="20.25" customHeight="1" thickBot="1">
      <c r="A83" s="79" t="s">
        <v>48</v>
      </c>
      <c r="B83" s="80"/>
      <c r="C83" s="80"/>
      <c r="D83" s="80"/>
      <c r="E83" s="80"/>
      <c r="F83" s="80"/>
      <c r="G83" s="84"/>
    </row>
    <row r="84" spans="1:7" ht="31.5" customHeight="1" thickBot="1">
      <c r="A84" s="79" t="s">
        <v>49</v>
      </c>
      <c r="B84" s="80"/>
      <c r="C84" s="80"/>
      <c r="D84" s="80"/>
      <c r="E84" s="84"/>
      <c r="F84" s="144"/>
      <c r="G84" s="152"/>
    </row>
    <row r="85" spans="1:7" ht="16.5" customHeight="1" thickBot="1">
      <c r="A85" s="79" t="s">
        <v>50</v>
      </c>
      <c r="B85" s="80"/>
      <c r="C85" s="81"/>
      <c r="D85" s="81"/>
      <c r="E85" s="82"/>
      <c r="F85" s="145">
        <v>75</v>
      </c>
      <c r="G85" s="152" t="s">
        <v>51</v>
      </c>
    </row>
    <row r="86" spans="1:7" ht="16.5" thickBot="1">
      <c r="A86" s="103" t="s">
        <v>33</v>
      </c>
      <c r="B86" s="104"/>
      <c r="C86" s="104"/>
      <c r="D86" s="104"/>
      <c r="E86" s="105"/>
      <c r="F86" s="146">
        <f>F85/100</f>
        <v>0.75</v>
      </c>
      <c r="G86" s="152"/>
    </row>
    <row r="87" spans="1:7" ht="18" customHeight="1" thickBot="1">
      <c r="A87" s="85" t="s">
        <v>295</v>
      </c>
      <c r="B87" s="86"/>
      <c r="C87" s="86"/>
      <c r="D87" s="81"/>
      <c r="E87" s="82"/>
      <c r="F87" s="147">
        <v>1225</v>
      </c>
      <c r="G87" s="152" t="s">
        <v>296</v>
      </c>
    </row>
    <row r="88" spans="1:7" ht="18.75" customHeight="1" thickBot="1">
      <c r="A88" s="79" t="s">
        <v>52</v>
      </c>
      <c r="B88" s="80"/>
      <c r="C88" s="80"/>
      <c r="D88" s="80"/>
      <c r="E88" s="84"/>
      <c r="F88" s="148">
        <v>0.13</v>
      </c>
      <c r="G88" s="152"/>
    </row>
    <row r="89" spans="1:7" ht="33" customHeight="1" thickBot="1">
      <c r="A89" s="79" t="s">
        <v>297</v>
      </c>
      <c r="B89" s="80"/>
      <c r="C89" s="80"/>
      <c r="D89" s="80"/>
      <c r="E89" s="82"/>
      <c r="F89" s="150">
        <f>(F87*F88)/(((1-F86)^(-F88))-1)</f>
        <v>806.4160655059092</v>
      </c>
      <c r="G89" s="152" t="s">
        <v>296</v>
      </c>
    </row>
    <row r="90" spans="1:7" ht="16.5" thickBot="1">
      <c r="A90" s="106" t="s">
        <v>33</v>
      </c>
      <c r="B90" s="81"/>
      <c r="C90" s="81"/>
      <c r="D90" s="81"/>
      <c r="E90" s="82"/>
      <c r="F90" s="105">
        <f>ROUNDUP(F89,-1)</f>
        <v>810</v>
      </c>
      <c r="G90" s="152" t="s">
        <v>296</v>
      </c>
    </row>
    <row r="91" spans="1:7" ht="31.5" customHeight="1" thickBot="1">
      <c r="A91" s="79" t="s">
        <v>243</v>
      </c>
      <c r="B91" s="80"/>
      <c r="C91" s="80"/>
      <c r="D91" s="80"/>
      <c r="E91" s="84"/>
      <c r="F91" s="149">
        <v>0.1</v>
      </c>
      <c r="G91" s="152" t="s">
        <v>51</v>
      </c>
    </row>
    <row r="92" spans="1:7" ht="16.5" thickBot="1">
      <c r="A92" s="79" t="s">
        <v>53</v>
      </c>
      <c r="B92" s="80"/>
      <c r="C92" s="80"/>
      <c r="D92" s="80"/>
      <c r="E92" s="84"/>
      <c r="F92" s="105">
        <f>F90*(1-F91)</f>
        <v>729</v>
      </c>
      <c r="G92" s="152" t="s">
        <v>296</v>
      </c>
    </row>
    <row r="93" spans="1:7" ht="18.75" customHeight="1" thickBot="1">
      <c r="A93" s="79" t="s">
        <v>298</v>
      </c>
      <c r="B93" s="80"/>
      <c r="C93" s="80"/>
      <c r="D93" s="80"/>
      <c r="E93" s="84"/>
      <c r="F93" s="105">
        <f>F7*2.25*1000</f>
        <v>56250</v>
      </c>
      <c r="G93" s="152" t="s">
        <v>299</v>
      </c>
    </row>
    <row r="94" spans="1:7" ht="19.5" customHeight="1" thickBot="1">
      <c r="A94" s="85" t="s">
        <v>54</v>
      </c>
      <c r="B94" s="86"/>
      <c r="C94" s="86"/>
      <c r="D94" s="86"/>
      <c r="E94" s="87"/>
      <c r="F94" s="150">
        <f>F93/F92</f>
        <v>77.1604938271605</v>
      </c>
      <c r="G94" s="152" t="s">
        <v>300</v>
      </c>
    </row>
    <row r="95" spans="1:7" ht="16.5" thickBot="1">
      <c r="A95" s="79" t="s">
        <v>55</v>
      </c>
      <c r="B95" s="80"/>
      <c r="C95" s="80"/>
      <c r="D95" s="80"/>
      <c r="E95" s="84"/>
      <c r="F95" s="150">
        <f>F94^0.5</f>
        <v>8.784104611578831</v>
      </c>
      <c r="G95" s="152" t="s">
        <v>29</v>
      </c>
    </row>
    <row r="96" spans="1:7" ht="16.5" customHeight="1" thickBot="1">
      <c r="A96" s="85" t="s">
        <v>166</v>
      </c>
      <c r="B96" s="86"/>
      <c r="C96" s="86"/>
      <c r="D96" s="86"/>
      <c r="E96" s="87"/>
      <c r="F96" s="150">
        <f>ROUNDUP(F95,0)</f>
        <v>9</v>
      </c>
      <c r="G96" s="152" t="s">
        <v>29</v>
      </c>
    </row>
    <row r="97" spans="1:7" ht="16.5" customHeight="1" thickBot="1">
      <c r="A97" s="85" t="s">
        <v>167</v>
      </c>
      <c r="B97" s="86"/>
      <c r="C97" s="86"/>
      <c r="D97" s="86"/>
      <c r="E97" s="87"/>
      <c r="F97" s="105">
        <f>F96</f>
        <v>9</v>
      </c>
      <c r="G97" s="152" t="s">
        <v>29</v>
      </c>
    </row>
    <row r="98" spans="1:7" ht="16.5" thickBot="1">
      <c r="A98" s="79" t="s">
        <v>56</v>
      </c>
      <c r="B98" s="80"/>
      <c r="C98" s="80"/>
      <c r="D98" s="81"/>
      <c r="E98" s="82"/>
      <c r="F98" s="147">
        <v>1</v>
      </c>
      <c r="G98" s="152" t="s">
        <v>57</v>
      </c>
    </row>
    <row r="99" spans="1:7" ht="16.5" thickBot="1">
      <c r="A99" s="79" t="s">
        <v>58</v>
      </c>
      <c r="B99" s="80"/>
      <c r="C99" s="80"/>
      <c r="D99" s="80"/>
      <c r="E99" s="84"/>
      <c r="F99" s="150">
        <f>(F93/24/60)/(9*9)</f>
        <v>0.48225308641975306</v>
      </c>
      <c r="G99" s="152" t="s">
        <v>29</v>
      </c>
    </row>
    <row r="100" spans="1:7" ht="33" customHeight="1" thickBot="1">
      <c r="A100" s="79" t="s">
        <v>59</v>
      </c>
      <c r="B100" s="80"/>
      <c r="C100" s="80"/>
      <c r="D100" s="80"/>
      <c r="E100" s="84"/>
      <c r="F100" s="151">
        <v>0.9</v>
      </c>
      <c r="G100" s="152" t="s">
        <v>29</v>
      </c>
    </row>
    <row r="101" spans="1:7" ht="16.5" thickBot="1">
      <c r="A101" s="79" t="s">
        <v>60</v>
      </c>
      <c r="B101" s="80"/>
      <c r="C101" s="80"/>
      <c r="D101" s="80"/>
      <c r="E101" s="84"/>
      <c r="F101" s="150">
        <f>((9*9*0.9)/F93)*24*60</f>
        <v>1.86624</v>
      </c>
      <c r="G101" s="152" t="s">
        <v>57</v>
      </c>
    </row>
    <row r="102" spans="1:7" ht="31.5" customHeight="1" thickBot="1">
      <c r="A102" s="79" t="s">
        <v>127</v>
      </c>
      <c r="B102" s="80"/>
      <c r="C102" s="80"/>
      <c r="D102" s="80"/>
      <c r="E102" s="80"/>
      <c r="F102" s="80"/>
      <c r="G102" s="84"/>
    </row>
    <row r="103" spans="1:7" ht="16.5" thickBot="1">
      <c r="A103" s="79" t="s">
        <v>61</v>
      </c>
      <c r="B103" s="80"/>
      <c r="C103" s="80"/>
      <c r="D103" s="80"/>
      <c r="E103" s="84"/>
      <c r="F103" s="145" t="s">
        <v>128</v>
      </c>
      <c r="G103" s="83"/>
    </row>
    <row r="104" spans="1:7" ht="34.5" customHeight="1" thickBot="1">
      <c r="A104" s="85" t="s">
        <v>165</v>
      </c>
      <c r="B104" s="86"/>
      <c r="C104" s="86"/>
      <c r="D104" s="86"/>
      <c r="E104" s="87"/>
      <c r="F104" s="153">
        <f>(F50/(0.67*0.6*F96*((2*9.81)^0.5)))^0.667</f>
        <v>0.11804929843363778</v>
      </c>
      <c r="G104" s="154" t="s">
        <v>102</v>
      </c>
    </row>
    <row r="105" spans="1:7" ht="31.5" customHeight="1" thickBot="1">
      <c r="A105" s="23" t="s">
        <v>62</v>
      </c>
      <c r="B105" s="24"/>
      <c r="C105" s="24"/>
      <c r="D105" s="24"/>
      <c r="E105" s="24"/>
      <c r="F105" s="24"/>
      <c r="G105" s="24"/>
    </row>
    <row r="106" spans="1:7" ht="15.75" thickBot="1">
      <c r="A106" s="89" t="s">
        <v>63</v>
      </c>
      <c r="B106" s="90"/>
      <c r="C106" s="90"/>
      <c r="D106" s="90"/>
      <c r="E106" s="94"/>
      <c r="F106" s="132">
        <f>(25*2.25*1000)/(24*3600)</f>
        <v>0.6510416666666666</v>
      </c>
      <c r="G106" s="142" t="s">
        <v>5</v>
      </c>
    </row>
    <row r="107" spans="1:7" ht="16.5" customHeight="1" thickBot="1">
      <c r="A107" s="95" t="s">
        <v>64</v>
      </c>
      <c r="B107" s="96"/>
      <c r="C107" s="96"/>
      <c r="D107" s="96"/>
      <c r="E107" s="97"/>
      <c r="F107" s="133">
        <v>0.8</v>
      </c>
      <c r="G107" s="142" t="s">
        <v>15</v>
      </c>
    </row>
    <row r="108" spans="1:7" ht="16.5" customHeight="1" thickBot="1">
      <c r="A108" s="95" t="s">
        <v>65</v>
      </c>
      <c r="B108" s="96"/>
      <c r="C108" s="96"/>
      <c r="D108" s="96"/>
      <c r="E108" s="97"/>
      <c r="F108" s="132">
        <f>F106/F107</f>
        <v>0.8138020833333333</v>
      </c>
      <c r="G108" s="142" t="s">
        <v>301</v>
      </c>
    </row>
    <row r="109" spans="1:7" ht="16.5" customHeight="1" thickBot="1">
      <c r="A109" s="95" t="s">
        <v>66</v>
      </c>
      <c r="B109" s="96"/>
      <c r="C109" s="96"/>
      <c r="D109" s="96"/>
      <c r="E109" s="97"/>
      <c r="F109" s="133">
        <v>0.7</v>
      </c>
      <c r="G109" s="142" t="s">
        <v>29</v>
      </c>
    </row>
    <row r="110" spans="1:7" ht="18" customHeight="1" thickBot="1">
      <c r="A110" s="95" t="s">
        <v>67</v>
      </c>
      <c r="B110" s="96"/>
      <c r="C110" s="96"/>
      <c r="D110" s="96"/>
      <c r="E110" s="97"/>
      <c r="F110" s="132">
        <f>F108/F109</f>
        <v>1.1625744047619047</v>
      </c>
      <c r="G110" s="142" t="s">
        <v>29</v>
      </c>
    </row>
    <row r="111" spans="1:9" ht="16.5" thickBot="1">
      <c r="A111" s="23" t="s">
        <v>68</v>
      </c>
      <c r="B111" s="24"/>
      <c r="C111" s="24"/>
      <c r="D111" s="24"/>
      <c r="E111" s="27"/>
      <c r="F111" s="27"/>
      <c r="G111" s="28"/>
      <c r="I111" s="2"/>
    </row>
    <row r="112" spans="1:7" ht="31.5" customHeight="1" thickBot="1">
      <c r="A112" s="95" t="s">
        <v>244</v>
      </c>
      <c r="B112" s="96"/>
      <c r="C112" s="96"/>
      <c r="D112" s="96"/>
      <c r="E112" s="97"/>
      <c r="F112" s="155">
        <v>3</v>
      </c>
      <c r="G112" s="158" t="s">
        <v>30</v>
      </c>
    </row>
    <row r="113" spans="1:7" ht="18" thickBot="1">
      <c r="A113" s="89" t="s">
        <v>129</v>
      </c>
      <c r="B113" s="90"/>
      <c r="C113" s="90"/>
      <c r="D113" s="90"/>
      <c r="E113" s="94"/>
      <c r="F113" s="134">
        <f>F7*1000/F112</f>
        <v>8333.333333333334</v>
      </c>
      <c r="G113" s="92" t="s">
        <v>302</v>
      </c>
    </row>
    <row r="114" spans="1:7" ht="18" thickBot="1">
      <c r="A114" s="108" t="s">
        <v>44</v>
      </c>
      <c r="B114" s="91"/>
      <c r="C114" s="91"/>
      <c r="D114" s="91"/>
      <c r="E114" s="92"/>
      <c r="F114" s="134">
        <f>25000/3</f>
        <v>8333.333333333334</v>
      </c>
      <c r="G114" s="92" t="s">
        <v>302</v>
      </c>
    </row>
    <row r="115" spans="1:7" ht="15.75" thickBot="1">
      <c r="A115" s="89" t="s">
        <v>69</v>
      </c>
      <c r="B115" s="90"/>
      <c r="C115" s="90"/>
      <c r="D115" s="90"/>
      <c r="E115" s="94"/>
      <c r="F115" s="140"/>
      <c r="G115" s="92"/>
    </row>
    <row r="116" spans="1:7" ht="15.75" thickBot="1">
      <c r="A116" s="89" t="s">
        <v>70</v>
      </c>
      <c r="B116" s="90"/>
      <c r="C116" s="90"/>
      <c r="D116" s="90"/>
      <c r="E116" s="94"/>
      <c r="F116" s="131">
        <v>300</v>
      </c>
      <c r="G116" s="92" t="s">
        <v>71</v>
      </c>
    </row>
    <row r="117" spans="1:7" ht="18" thickBot="1">
      <c r="A117" s="89" t="s">
        <v>72</v>
      </c>
      <c r="B117" s="90"/>
      <c r="C117" s="91"/>
      <c r="D117" s="91"/>
      <c r="E117" s="92"/>
      <c r="F117" s="134">
        <f>F113</f>
        <v>8333.333333333334</v>
      </c>
      <c r="G117" s="92" t="s">
        <v>302</v>
      </c>
    </row>
    <row r="118" spans="1:9" ht="20.25" customHeight="1" thickBot="1">
      <c r="A118" s="89" t="s">
        <v>73</v>
      </c>
      <c r="B118" s="90"/>
      <c r="C118" s="90"/>
      <c r="D118" s="90"/>
      <c r="E118" s="90"/>
      <c r="F118" s="94"/>
      <c r="G118" s="158"/>
      <c r="I118" s="3"/>
    </row>
    <row r="119" spans="1:7" ht="15.75" thickBot="1">
      <c r="A119" s="89" t="s">
        <v>74</v>
      </c>
      <c r="B119" s="90"/>
      <c r="C119" s="90"/>
      <c r="D119" s="90"/>
      <c r="E119" s="94"/>
      <c r="F119" s="93"/>
      <c r="G119" s="92"/>
    </row>
    <row r="120" spans="1:7" ht="48.75" customHeight="1" thickBot="1">
      <c r="A120" s="89" t="s">
        <v>303</v>
      </c>
      <c r="B120" s="90"/>
      <c r="C120" s="90"/>
      <c r="D120" s="90"/>
      <c r="E120" s="94"/>
      <c r="F120" s="133">
        <v>13.89</v>
      </c>
      <c r="G120" s="92"/>
    </row>
    <row r="121" spans="1:7" ht="15.75" thickBot="1">
      <c r="A121" s="89" t="s">
        <v>75</v>
      </c>
      <c r="B121" s="90"/>
      <c r="C121" s="90"/>
      <c r="D121" s="90"/>
      <c r="E121" s="94"/>
      <c r="F121" s="140">
        <f>20*F120-100</f>
        <v>177.8</v>
      </c>
      <c r="G121" s="92" t="s">
        <v>96</v>
      </c>
    </row>
    <row r="122" spans="1:7" ht="17.25" customHeight="1" thickBot="1">
      <c r="A122" s="95" t="s">
        <v>77</v>
      </c>
      <c r="B122" s="96"/>
      <c r="C122" s="96"/>
      <c r="D122" s="96"/>
      <c r="E122" s="97"/>
      <c r="F122" s="134">
        <f>F117*F116/F121</f>
        <v>14060.742407199099</v>
      </c>
      <c r="G122" s="92" t="s">
        <v>304</v>
      </c>
    </row>
    <row r="123" spans="1:7" ht="15.75" thickBot="1">
      <c r="A123" s="89" t="s">
        <v>78</v>
      </c>
      <c r="B123" s="90"/>
      <c r="C123" s="90"/>
      <c r="D123" s="90"/>
      <c r="E123" s="94"/>
      <c r="F123" s="132">
        <f>F122/F117</f>
        <v>1.6872890888638918</v>
      </c>
      <c r="G123" s="92" t="s">
        <v>79</v>
      </c>
    </row>
    <row r="124" spans="1:7" ht="31.5" customHeight="1" thickBot="1">
      <c r="A124" s="89" t="s">
        <v>80</v>
      </c>
      <c r="B124" s="90"/>
      <c r="C124" s="90"/>
      <c r="D124" s="90"/>
      <c r="E124" s="94"/>
      <c r="F124" s="156">
        <f>ROUNDUP(F123,0)</f>
        <v>2</v>
      </c>
      <c r="G124" s="92" t="s">
        <v>79</v>
      </c>
    </row>
    <row r="125" spans="1:7" ht="18" thickBot="1">
      <c r="A125" s="89" t="s">
        <v>130</v>
      </c>
      <c r="B125" s="90"/>
      <c r="C125" s="90"/>
      <c r="D125" s="90"/>
      <c r="E125" s="94"/>
      <c r="F125" s="134">
        <f>F124*F117</f>
        <v>16666.666666666668</v>
      </c>
      <c r="G125" s="92" t="s">
        <v>304</v>
      </c>
    </row>
    <row r="126" spans="1:7" ht="17.25" customHeight="1" thickBot="1">
      <c r="A126" s="89" t="s">
        <v>81</v>
      </c>
      <c r="B126" s="90"/>
      <c r="C126" s="90"/>
      <c r="D126" s="90"/>
      <c r="E126" s="94"/>
      <c r="F126" s="140">
        <f>F121*F123/F124</f>
        <v>150</v>
      </c>
      <c r="G126" s="92" t="s">
        <v>76</v>
      </c>
    </row>
    <row r="127" spans="1:7" ht="15.75" thickBot="1">
      <c r="A127" s="89" t="s">
        <v>82</v>
      </c>
      <c r="B127" s="90"/>
      <c r="C127" s="90"/>
      <c r="D127" s="90"/>
      <c r="E127" s="94"/>
      <c r="F127" s="140">
        <f>2*F120+20</f>
        <v>47.78</v>
      </c>
      <c r="G127" s="92" t="s">
        <v>51</v>
      </c>
    </row>
    <row r="128" spans="1:7" ht="16.5" customHeight="1" thickBot="1">
      <c r="A128" s="95" t="s">
        <v>83</v>
      </c>
      <c r="B128" s="96"/>
      <c r="C128" s="96"/>
      <c r="D128" s="96"/>
      <c r="E128" s="97"/>
      <c r="F128" s="131">
        <v>4</v>
      </c>
      <c r="G128" s="92" t="s">
        <v>29</v>
      </c>
    </row>
    <row r="129" spans="1:7" ht="18" thickBot="1">
      <c r="A129" s="89" t="s">
        <v>84</v>
      </c>
      <c r="B129" s="90"/>
      <c r="C129" s="90"/>
      <c r="D129" s="90"/>
      <c r="E129" s="94"/>
      <c r="F129" s="134">
        <f>F125/F128</f>
        <v>4166.666666666667</v>
      </c>
      <c r="G129" s="92" t="s">
        <v>301</v>
      </c>
    </row>
    <row r="130" spans="1:7" ht="15.75" thickBot="1">
      <c r="A130" s="89" t="s">
        <v>85</v>
      </c>
      <c r="B130" s="90"/>
      <c r="C130" s="90"/>
      <c r="D130" s="90"/>
      <c r="E130" s="94"/>
      <c r="F130" s="140"/>
      <c r="G130" s="92"/>
    </row>
    <row r="131" spans="1:7" ht="18.75" customHeight="1" thickBot="1">
      <c r="A131" s="89" t="s">
        <v>305</v>
      </c>
      <c r="B131" s="90"/>
      <c r="C131" s="90"/>
      <c r="D131" s="90"/>
      <c r="E131" s="94"/>
      <c r="F131" s="157">
        <f>(F129/2)^0.5</f>
        <v>45.64354645876384</v>
      </c>
      <c r="G131" s="92" t="s">
        <v>29</v>
      </c>
    </row>
    <row r="132" spans="1:7" ht="15.75" thickBot="1">
      <c r="A132" s="89" t="s">
        <v>86</v>
      </c>
      <c r="B132" s="90"/>
      <c r="C132" s="90"/>
      <c r="D132" s="90"/>
      <c r="E132" s="94"/>
      <c r="F132" s="157">
        <f>F131*2</f>
        <v>91.28709291752769</v>
      </c>
      <c r="G132" s="92" t="s">
        <v>29</v>
      </c>
    </row>
    <row r="133" spans="1:7" ht="15.75" thickBot="1">
      <c r="A133" s="89" t="s">
        <v>168</v>
      </c>
      <c r="B133" s="90"/>
      <c r="C133" s="90"/>
      <c r="D133" s="90"/>
      <c r="E133" s="94"/>
      <c r="F133" s="131">
        <v>2.5</v>
      </c>
      <c r="G133" s="92" t="s">
        <v>29</v>
      </c>
    </row>
    <row r="134" spans="1:7" ht="15.75" thickBot="1">
      <c r="A134" s="95" t="s">
        <v>171</v>
      </c>
      <c r="B134" s="96"/>
      <c r="C134" s="96"/>
      <c r="D134" s="96"/>
      <c r="E134" s="97"/>
      <c r="F134" s="131">
        <v>1</v>
      </c>
      <c r="G134" s="92" t="s">
        <v>29</v>
      </c>
    </row>
    <row r="135" spans="1:7" ht="15.75" thickBot="1">
      <c r="A135" s="89" t="s">
        <v>169</v>
      </c>
      <c r="B135" s="90"/>
      <c r="C135" s="90"/>
      <c r="D135" s="90"/>
      <c r="E135" s="94"/>
      <c r="F135" s="140">
        <f>(F128+F134)/2</f>
        <v>2.5</v>
      </c>
      <c r="G135" s="92" t="s">
        <v>29</v>
      </c>
    </row>
    <row r="136" spans="1:7" ht="15.75" thickBot="1">
      <c r="A136" s="95" t="s">
        <v>132</v>
      </c>
      <c r="B136" s="96"/>
      <c r="C136" s="96"/>
      <c r="D136" s="96"/>
      <c r="E136" s="97"/>
      <c r="F136" s="131">
        <v>1</v>
      </c>
      <c r="G136" s="92" t="s">
        <v>29</v>
      </c>
    </row>
    <row r="137" spans="1:7" ht="15.75" thickBot="1">
      <c r="A137" s="95" t="s">
        <v>170</v>
      </c>
      <c r="B137" s="96"/>
      <c r="C137" s="96"/>
      <c r="D137" s="96"/>
      <c r="E137" s="97"/>
      <c r="F137" s="140">
        <f>F135+F136</f>
        <v>3.5</v>
      </c>
      <c r="G137" s="92"/>
    </row>
    <row r="138" spans="1:7" ht="18" customHeight="1" thickBot="1">
      <c r="A138" s="95" t="s">
        <v>87</v>
      </c>
      <c r="B138" s="96"/>
      <c r="C138" s="96"/>
      <c r="D138" s="96"/>
      <c r="E138" s="97"/>
      <c r="F138" s="157">
        <f>F132+2*(F137*F133)</f>
        <v>108.78709291752769</v>
      </c>
      <c r="G138" s="92" t="s">
        <v>29</v>
      </c>
    </row>
    <row r="139" spans="1:7" ht="18" customHeight="1" thickBot="1">
      <c r="A139" s="95" t="s">
        <v>88</v>
      </c>
      <c r="B139" s="96"/>
      <c r="C139" s="96"/>
      <c r="D139" s="96"/>
      <c r="E139" s="97"/>
      <c r="F139" s="157">
        <f>F131+(2*(F137*F133))</f>
        <v>63.14354645876384</v>
      </c>
      <c r="G139" s="92" t="s">
        <v>29</v>
      </c>
    </row>
    <row r="140" spans="1:7" ht="16.5" customHeight="1" thickBot="1">
      <c r="A140" s="95" t="s">
        <v>89</v>
      </c>
      <c r="B140" s="96"/>
      <c r="C140" s="96"/>
      <c r="D140" s="96"/>
      <c r="E140" s="97"/>
      <c r="F140" s="134">
        <f>F138*F139</f>
        <v>6869.202855751769</v>
      </c>
      <c r="G140" s="92" t="s">
        <v>301</v>
      </c>
    </row>
    <row r="141" spans="1:7" ht="15.75" thickBot="1">
      <c r="A141" s="89" t="s">
        <v>90</v>
      </c>
      <c r="B141" s="90"/>
      <c r="C141" s="90"/>
      <c r="D141" s="90"/>
      <c r="E141" s="94"/>
      <c r="F141" s="157">
        <f>F132-(2*(F135*F133))</f>
        <v>78.78709291752769</v>
      </c>
      <c r="G141" s="92" t="s">
        <v>29</v>
      </c>
    </row>
    <row r="142" spans="1:7" ht="15.75" thickBot="1">
      <c r="A142" s="89" t="s">
        <v>91</v>
      </c>
      <c r="B142" s="90"/>
      <c r="C142" s="90"/>
      <c r="D142" s="90"/>
      <c r="E142" s="94"/>
      <c r="F142" s="157">
        <f>F131-(2*(F135*F133))</f>
        <v>33.14354645876384</v>
      </c>
      <c r="G142" s="92" t="s">
        <v>29</v>
      </c>
    </row>
    <row r="143" spans="1:7" ht="16.5" customHeight="1" thickBot="1">
      <c r="A143" s="95" t="s">
        <v>92</v>
      </c>
      <c r="B143" s="96"/>
      <c r="C143" s="96"/>
      <c r="D143" s="96"/>
      <c r="E143" s="97"/>
      <c r="F143" s="134">
        <f>F141*F142</f>
        <v>2611.2836744630226</v>
      </c>
      <c r="G143" s="92" t="s">
        <v>301</v>
      </c>
    </row>
    <row r="144" spans="1:7" ht="31.5" customHeight="1" thickBot="1">
      <c r="A144" s="98" t="s">
        <v>245</v>
      </c>
      <c r="B144" s="99"/>
      <c r="C144" s="99"/>
      <c r="D144" s="99"/>
      <c r="E144" s="99"/>
      <c r="F144" s="100"/>
      <c r="G144" s="107"/>
    </row>
    <row r="145" spans="1:7" ht="17.25" customHeight="1" thickBot="1">
      <c r="A145" s="20" t="s">
        <v>93</v>
      </c>
      <c r="B145" s="21"/>
      <c r="C145" s="21"/>
      <c r="D145" s="21"/>
      <c r="E145" s="21"/>
      <c r="F145" s="21"/>
      <c r="G145" s="22"/>
    </row>
    <row r="146" spans="1:7" ht="17.25" customHeight="1" thickBot="1">
      <c r="A146" s="89" t="s">
        <v>257</v>
      </c>
      <c r="B146" s="90"/>
      <c r="C146" s="90"/>
      <c r="D146" s="90"/>
      <c r="E146" s="94"/>
      <c r="F146" s="159">
        <v>2</v>
      </c>
      <c r="G146" s="161" t="s">
        <v>202</v>
      </c>
    </row>
    <row r="147" spans="1:7" ht="17.25" customHeight="1" thickBot="1">
      <c r="A147" s="89" t="s">
        <v>258</v>
      </c>
      <c r="B147" s="90"/>
      <c r="C147" s="90"/>
      <c r="D147" s="90"/>
      <c r="E147" s="94"/>
      <c r="F147" s="160">
        <f>F7*1000/F146</f>
        <v>12500</v>
      </c>
      <c r="G147" s="161" t="s">
        <v>209</v>
      </c>
    </row>
    <row r="148" spans="1:9" ht="31.5" customHeight="1" thickBot="1">
      <c r="A148" s="89" t="s">
        <v>94</v>
      </c>
      <c r="B148" s="90"/>
      <c r="C148" s="90"/>
      <c r="D148" s="90"/>
      <c r="E148" s="94"/>
      <c r="F148" s="159">
        <f>F116*(1-(F127/100))</f>
        <v>156.66</v>
      </c>
      <c r="G148" s="162" t="s">
        <v>71</v>
      </c>
      <c r="I148" s="17"/>
    </row>
    <row r="149" spans="1:7" ht="14.25" customHeight="1" thickBot="1">
      <c r="A149" s="89" t="s">
        <v>306</v>
      </c>
      <c r="B149" s="90"/>
      <c r="C149" s="90"/>
      <c r="D149" s="90"/>
      <c r="E149" s="94"/>
      <c r="F149" s="140">
        <f>F120</f>
        <v>13.89</v>
      </c>
      <c r="G149" s="142"/>
    </row>
    <row r="150" spans="1:7" ht="15.75" thickBot="1">
      <c r="A150" s="89" t="s">
        <v>95</v>
      </c>
      <c r="B150" s="90"/>
      <c r="C150" s="90"/>
      <c r="D150" s="90"/>
      <c r="E150" s="94"/>
      <c r="F150" s="140"/>
      <c r="G150" s="142"/>
    </row>
    <row r="151" spans="1:7" ht="34.5" customHeight="1" thickBot="1">
      <c r="A151" s="89" t="s">
        <v>307</v>
      </c>
      <c r="B151" s="90"/>
      <c r="C151" s="90"/>
      <c r="D151" s="90"/>
      <c r="E151" s="94"/>
      <c r="F151" s="156">
        <f>350*(1.107-(0.002*F149))^(F149-20)</f>
        <v>219.66761548721527</v>
      </c>
      <c r="G151" s="142" t="s">
        <v>96</v>
      </c>
    </row>
    <row r="152" spans="1:7" ht="15.75" customHeight="1" thickBot="1">
      <c r="A152" s="95" t="s">
        <v>139</v>
      </c>
      <c r="B152" s="96"/>
      <c r="C152" s="96"/>
      <c r="D152" s="96"/>
      <c r="E152" s="97"/>
      <c r="F152" s="132">
        <f>60*(1.099^F149)</f>
        <v>222.64307837748325</v>
      </c>
      <c r="G152" s="142"/>
    </row>
    <row r="153" spans="1:7" ht="15" customHeight="1" thickBot="1">
      <c r="A153" s="95" t="s">
        <v>140</v>
      </c>
      <c r="B153" s="96"/>
      <c r="C153" s="96"/>
      <c r="D153" s="96"/>
      <c r="E153" s="97"/>
      <c r="F153" s="132">
        <f>20*F149-120</f>
        <v>157.8</v>
      </c>
      <c r="G153" s="142"/>
    </row>
    <row r="154" spans="1:7" ht="15" customHeight="1" thickBot="1">
      <c r="A154" s="95" t="s">
        <v>141</v>
      </c>
      <c r="B154" s="96"/>
      <c r="C154" s="96"/>
      <c r="D154" s="96"/>
      <c r="E154" s="97"/>
      <c r="F154" s="132">
        <f>20*F149-60</f>
        <v>217.8</v>
      </c>
      <c r="G154" s="142"/>
    </row>
    <row r="155" spans="1:7" ht="16.5" customHeight="1" thickBot="1">
      <c r="A155" s="89" t="s">
        <v>142</v>
      </c>
      <c r="B155" s="90"/>
      <c r="C155" s="90"/>
      <c r="D155" s="90"/>
      <c r="E155" s="94"/>
      <c r="F155" s="132">
        <f>375-(6.25*28.73)</f>
        <v>195.4375</v>
      </c>
      <c r="G155" s="142" t="s">
        <v>96</v>
      </c>
    </row>
    <row r="156" spans="1:7" ht="15.75" thickBot="1">
      <c r="A156" s="110" t="s">
        <v>246</v>
      </c>
      <c r="B156" s="111"/>
      <c r="C156" s="111"/>
      <c r="D156" s="111"/>
      <c r="E156" s="112"/>
      <c r="F156" s="140"/>
      <c r="G156" s="142"/>
    </row>
    <row r="157" spans="1:7" ht="18.75" customHeight="1" thickBot="1">
      <c r="A157" s="95" t="s">
        <v>247</v>
      </c>
      <c r="B157" s="96"/>
      <c r="C157" s="96"/>
      <c r="D157" s="96"/>
      <c r="E157" s="113">
        <v>210</v>
      </c>
      <c r="F157" s="140">
        <f>1+(3*E157/100000)</f>
        <v>1.0063</v>
      </c>
      <c r="G157" s="142"/>
    </row>
    <row r="158" spans="1:7" ht="15" customHeight="1" thickBot="1">
      <c r="A158" s="89" t="s">
        <v>308</v>
      </c>
      <c r="B158" s="90"/>
      <c r="C158" s="90"/>
      <c r="D158" s="90"/>
      <c r="E158" s="94"/>
      <c r="F158" s="132">
        <f>F155/F157</f>
        <v>194.21395210175893</v>
      </c>
      <c r="G158" s="142" t="s">
        <v>96</v>
      </c>
    </row>
    <row r="159" spans="1:7" ht="15.75" thickBot="1">
      <c r="A159" s="89" t="s">
        <v>97</v>
      </c>
      <c r="B159" s="90"/>
      <c r="C159" s="90"/>
      <c r="D159" s="90"/>
      <c r="E159" s="94"/>
      <c r="F159" s="140">
        <f>F148</f>
        <v>156.66</v>
      </c>
      <c r="G159" s="142" t="s">
        <v>71</v>
      </c>
    </row>
    <row r="160" spans="1:7" ht="20.25" customHeight="1" thickBot="1">
      <c r="A160" s="89" t="s">
        <v>309</v>
      </c>
      <c r="B160" s="90"/>
      <c r="C160" s="90"/>
      <c r="D160" s="90"/>
      <c r="E160" s="94"/>
      <c r="F160" s="156">
        <f>F151</f>
        <v>219.66761548721527</v>
      </c>
      <c r="G160" s="142" t="s">
        <v>96</v>
      </c>
    </row>
    <row r="161" spans="1:7" ht="31.5" customHeight="1" thickBot="1">
      <c r="A161" s="89" t="s">
        <v>98</v>
      </c>
      <c r="B161" s="90"/>
      <c r="C161" s="90"/>
      <c r="D161" s="90"/>
      <c r="E161" s="90"/>
      <c r="F161" s="90"/>
      <c r="G161" s="94"/>
    </row>
    <row r="162" spans="1:7" ht="18.75" customHeight="1" thickBot="1">
      <c r="A162" s="89" t="s">
        <v>310</v>
      </c>
      <c r="B162" s="90"/>
      <c r="C162" s="91"/>
      <c r="D162" s="91"/>
      <c r="E162" s="92"/>
      <c r="F162" s="140"/>
      <c r="G162" s="142"/>
    </row>
    <row r="163" spans="1:7" ht="18.75" customHeight="1" thickBot="1">
      <c r="A163" s="89" t="s">
        <v>311</v>
      </c>
      <c r="B163" s="90"/>
      <c r="C163" s="90"/>
      <c r="D163" s="90"/>
      <c r="E163" s="94"/>
      <c r="F163" s="140"/>
      <c r="G163" s="142"/>
    </row>
    <row r="164" spans="1:7" ht="36" customHeight="1" thickBot="1">
      <c r="A164" s="89" t="s">
        <v>312</v>
      </c>
      <c r="B164" s="90"/>
      <c r="C164" s="90"/>
      <c r="D164" s="90"/>
      <c r="E164" s="94"/>
      <c r="F164" s="140"/>
      <c r="G164" s="142"/>
    </row>
    <row r="165" spans="1:7" ht="48.75" customHeight="1" thickBot="1">
      <c r="A165" s="95" t="s">
        <v>261</v>
      </c>
      <c r="B165" s="96"/>
      <c r="C165" s="96"/>
      <c r="D165" s="96"/>
      <c r="E165" s="97"/>
      <c r="F165" s="140">
        <v>75</v>
      </c>
      <c r="G165" s="142"/>
    </row>
    <row r="166" spans="1:7" ht="17.25" customHeight="1" thickBot="1">
      <c r="A166" s="95" t="s">
        <v>248</v>
      </c>
      <c r="B166" s="96"/>
      <c r="C166" s="96"/>
      <c r="D166" s="96"/>
      <c r="E166" s="97"/>
      <c r="F166" s="140">
        <f>F159-F165</f>
        <v>81.66</v>
      </c>
      <c r="G166" s="142"/>
    </row>
    <row r="167" spans="1:7" ht="18" thickBot="1">
      <c r="A167" s="89" t="s">
        <v>99</v>
      </c>
      <c r="B167" s="90"/>
      <c r="C167" s="90"/>
      <c r="D167" s="90"/>
      <c r="E167" s="94"/>
      <c r="F167" s="134">
        <f>10*F165*(F7*1000)/F160</f>
        <v>85356.23222573404</v>
      </c>
      <c r="G167" s="142" t="s">
        <v>289</v>
      </c>
    </row>
    <row r="168" spans="1:7" ht="31.5" customHeight="1" thickBot="1">
      <c r="A168" s="89" t="s">
        <v>253</v>
      </c>
      <c r="B168" s="90"/>
      <c r="C168" s="90"/>
      <c r="D168" s="90"/>
      <c r="E168" s="94"/>
      <c r="F168" s="163">
        <f>F167/2</f>
        <v>42678.11611286702</v>
      </c>
      <c r="G168" s="142" t="s">
        <v>289</v>
      </c>
    </row>
    <row r="169" spans="1:7" ht="15.75" thickBot="1">
      <c r="A169" s="89" t="s">
        <v>100</v>
      </c>
      <c r="B169" s="90"/>
      <c r="C169" s="90"/>
      <c r="D169" s="90"/>
      <c r="E169" s="94"/>
      <c r="F169" s="140"/>
      <c r="G169" s="142"/>
    </row>
    <row r="170" spans="1:7" ht="18.75" customHeight="1" thickBot="1">
      <c r="A170" s="89" t="s">
        <v>313</v>
      </c>
      <c r="B170" s="90"/>
      <c r="C170" s="90"/>
      <c r="D170" s="91"/>
      <c r="E170" s="92"/>
      <c r="F170" s="134">
        <f>(F168/2)^0.5</f>
        <v>146.0789446033668</v>
      </c>
      <c r="G170" s="142" t="s">
        <v>101</v>
      </c>
    </row>
    <row r="171" spans="1:7" ht="15.75" thickBot="1">
      <c r="A171" s="89" t="s">
        <v>254</v>
      </c>
      <c r="B171" s="90"/>
      <c r="C171" s="90"/>
      <c r="D171" s="90"/>
      <c r="E171" s="94"/>
      <c r="F171" s="134">
        <f>2*F170</f>
        <v>292.1578892067336</v>
      </c>
      <c r="G171" s="142" t="s">
        <v>101</v>
      </c>
    </row>
    <row r="172" spans="1:7" ht="18" thickBot="1">
      <c r="A172" s="89" t="s">
        <v>255</v>
      </c>
      <c r="B172" s="90"/>
      <c r="C172" s="90"/>
      <c r="D172" s="90"/>
      <c r="E172" s="94"/>
      <c r="F172" s="134">
        <f>F171*F170</f>
        <v>42678.116112867014</v>
      </c>
      <c r="G172" s="142" t="s">
        <v>289</v>
      </c>
    </row>
    <row r="173" spans="1:7" ht="16.5" customHeight="1" thickBot="1">
      <c r="A173" s="95" t="s">
        <v>249</v>
      </c>
      <c r="B173" s="96"/>
      <c r="C173" s="96"/>
      <c r="D173" s="96"/>
      <c r="E173" s="97"/>
      <c r="F173" s="131">
        <v>1</v>
      </c>
      <c r="G173" s="142" t="s">
        <v>102</v>
      </c>
    </row>
    <row r="174" spans="1:7" ht="15.75" thickBot="1">
      <c r="A174" s="95" t="s">
        <v>250</v>
      </c>
      <c r="B174" s="96"/>
      <c r="C174" s="96"/>
      <c r="D174" s="96"/>
      <c r="E174" s="97"/>
      <c r="F174" s="131">
        <v>0.5</v>
      </c>
      <c r="G174" s="142" t="s">
        <v>102</v>
      </c>
    </row>
    <row r="175" spans="1:7" ht="15.75" thickBot="1">
      <c r="A175" s="95" t="s">
        <v>251</v>
      </c>
      <c r="B175" s="96"/>
      <c r="C175" s="96"/>
      <c r="D175" s="96"/>
      <c r="E175" s="97"/>
      <c r="F175" s="131">
        <v>1</v>
      </c>
      <c r="G175" s="142" t="s">
        <v>102</v>
      </c>
    </row>
    <row r="176" spans="1:7" ht="15.75" thickBot="1">
      <c r="A176" s="95" t="s">
        <v>256</v>
      </c>
      <c r="B176" s="96"/>
      <c r="C176" s="96"/>
      <c r="D176" s="96"/>
      <c r="E176" s="97"/>
      <c r="F176" s="164">
        <f>F173+F174+F175</f>
        <v>2.5</v>
      </c>
      <c r="G176" s="142"/>
    </row>
    <row r="177" spans="1:7" ht="15.75" thickBot="1">
      <c r="A177" s="89" t="s">
        <v>252</v>
      </c>
      <c r="B177" s="90"/>
      <c r="C177" s="90"/>
      <c r="D177" s="90"/>
      <c r="E177" s="94"/>
      <c r="F177" s="140">
        <v>2.5</v>
      </c>
      <c r="G177" s="142"/>
    </row>
    <row r="178" spans="1:7" ht="15.75" thickBot="1">
      <c r="A178" s="89" t="s">
        <v>103</v>
      </c>
      <c r="B178" s="90"/>
      <c r="C178" s="90"/>
      <c r="D178" s="90"/>
      <c r="E178" s="94"/>
      <c r="F178" s="157">
        <f>F171-(2*F177*((F173+F174+F175)/2))</f>
        <v>285.9078892067336</v>
      </c>
      <c r="G178" s="142" t="s">
        <v>102</v>
      </c>
    </row>
    <row r="179" spans="1:7" ht="15.75" thickBot="1">
      <c r="A179" s="89" t="s">
        <v>104</v>
      </c>
      <c r="B179" s="90"/>
      <c r="C179" s="91"/>
      <c r="D179" s="91"/>
      <c r="E179" s="92"/>
      <c r="F179" s="157">
        <f>F170-(2*F177*(F176/2))</f>
        <v>139.8289446033668</v>
      </c>
      <c r="G179" s="142" t="s">
        <v>102</v>
      </c>
    </row>
    <row r="180" spans="1:7" ht="18" thickBot="1">
      <c r="A180" s="89" t="s">
        <v>137</v>
      </c>
      <c r="B180" s="90"/>
      <c r="C180" s="90"/>
      <c r="D180" s="90"/>
      <c r="E180" s="94"/>
      <c r="F180" s="134">
        <f>F178*F179</f>
        <v>39978.19840155389</v>
      </c>
      <c r="G180" s="142" t="s">
        <v>301</v>
      </c>
    </row>
    <row r="181" spans="1:7" ht="15.75" thickBot="1">
      <c r="A181" s="89" t="s">
        <v>105</v>
      </c>
      <c r="B181" s="90"/>
      <c r="C181" s="90"/>
      <c r="D181" s="90"/>
      <c r="E181" s="94"/>
      <c r="F181" s="157">
        <f>F171+(2*(F176/2)*F177)</f>
        <v>298.4078892067336</v>
      </c>
      <c r="G181" s="142" t="s">
        <v>102</v>
      </c>
    </row>
    <row r="182" spans="1:7" ht="15.75" thickBot="1">
      <c r="A182" s="89" t="s">
        <v>106</v>
      </c>
      <c r="B182" s="90"/>
      <c r="C182" s="90"/>
      <c r="D182" s="90"/>
      <c r="E182" s="94"/>
      <c r="F182" s="157">
        <f>F170+(2*(F176/2)*F177)</f>
        <v>152.3289446033668</v>
      </c>
      <c r="G182" s="142" t="s">
        <v>102</v>
      </c>
    </row>
    <row r="183" spans="1:7" ht="22.5" customHeight="1" thickBot="1">
      <c r="A183" s="89" t="s">
        <v>138</v>
      </c>
      <c r="B183" s="90"/>
      <c r="C183" s="90"/>
      <c r="D183" s="90"/>
      <c r="E183" s="94"/>
      <c r="F183" s="163">
        <f>F181*F182</f>
        <v>45456.158824180144</v>
      </c>
      <c r="G183" s="142" t="s">
        <v>301</v>
      </c>
    </row>
    <row r="184" spans="1:7" ht="18" customHeight="1" thickBot="1">
      <c r="A184" s="95" t="s">
        <v>314</v>
      </c>
      <c r="B184" s="96"/>
      <c r="C184" s="96"/>
      <c r="D184" s="96"/>
      <c r="E184" s="97"/>
      <c r="F184" s="140"/>
      <c r="G184" s="142"/>
    </row>
    <row r="185" spans="1:7" ht="15.75" thickBot="1">
      <c r="A185" s="89" t="s">
        <v>107</v>
      </c>
      <c r="B185" s="90"/>
      <c r="C185" s="90"/>
      <c r="D185" s="90"/>
      <c r="E185" s="94"/>
      <c r="F185" s="140">
        <f>F173+F174</f>
        <v>1.5</v>
      </c>
      <c r="G185" s="142" t="s">
        <v>102</v>
      </c>
    </row>
    <row r="186" spans="1:7" ht="18" thickBot="1">
      <c r="A186" s="89" t="s">
        <v>108</v>
      </c>
      <c r="B186" s="90"/>
      <c r="C186" s="91"/>
      <c r="D186" s="91"/>
      <c r="E186" s="92"/>
      <c r="F186" s="134">
        <f>F183</f>
        <v>45456.158824180144</v>
      </c>
      <c r="G186" s="142" t="s">
        <v>301</v>
      </c>
    </row>
    <row r="187" spans="1:7" ht="14.25" customHeight="1" thickBot="1">
      <c r="A187" s="89" t="s">
        <v>109</v>
      </c>
      <c r="B187" s="90"/>
      <c r="C187" s="90"/>
      <c r="D187" s="90"/>
      <c r="E187" s="94"/>
      <c r="F187" s="134">
        <f>F172</f>
        <v>42678.116112867014</v>
      </c>
      <c r="G187" s="142" t="s">
        <v>301</v>
      </c>
    </row>
    <row r="188" spans="1:7" ht="14.25" customHeight="1" thickBot="1">
      <c r="A188" s="89" t="s">
        <v>110</v>
      </c>
      <c r="B188" s="90"/>
      <c r="C188" s="90"/>
      <c r="D188" s="90"/>
      <c r="E188" s="94"/>
      <c r="F188" s="134">
        <f>F180</f>
        <v>39978.19840155389</v>
      </c>
      <c r="G188" s="142" t="s">
        <v>301</v>
      </c>
    </row>
    <row r="189" spans="1:7" ht="15.75" customHeight="1" thickBot="1">
      <c r="A189" s="89" t="s">
        <v>111</v>
      </c>
      <c r="B189" s="90"/>
      <c r="C189" s="90"/>
      <c r="D189" s="91"/>
      <c r="E189" s="92"/>
      <c r="F189" s="134">
        <f>(F185/6)*(F186+(4*F187)+F188)</f>
        <v>64036.70541930052</v>
      </c>
      <c r="G189" s="142" t="s">
        <v>304</v>
      </c>
    </row>
    <row r="190" spans="1:7" ht="15.75" thickBot="1">
      <c r="A190" s="95" t="s">
        <v>112</v>
      </c>
      <c r="B190" s="96"/>
      <c r="C190" s="96"/>
      <c r="D190" s="96"/>
      <c r="E190" s="97"/>
      <c r="F190" s="132">
        <f>F189/F147</f>
        <v>5.122936433544042</v>
      </c>
      <c r="G190" s="142" t="s">
        <v>113</v>
      </c>
    </row>
    <row r="191" spans="1:7" ht="15.75" customHeight="1" thickBot="1">
      <c r="A191" s="89" t="s">
        <v>114</v>
      </c>
      <c r="B191" s="90"/>
      <c r="C191" s="90"/>
      <c r="D191" s="90"/>
      <c r="E191" s="94"/>
      <c r="F191" s="165">
        <f>F190+F124</f>
        <v>7.122936433544042</v>
      </c>
      <c r="G191" s="142" t="s">
        <v>113</v>
      </c>
    </row>
    <row r="192" spans="1:7" ht="20.25" customHeight="1" thickBot="1">
      <c r="A192" s="89" t="s">
        <v>259</v>
      </c>
      <c r="B192" s="90"/>
      <c r="C192" s="90"/>
      <c r="D192" s="90"/>
      <c r="E192" s="94"/>
      <c r="F192" s="134">
        <f>F146*F183</f>
        <v>90912.31764836029</v>
      </c>
      <c r="G192" s="142" t="s">
        <v>301</v>
      </c>
    </row>
    <row r="193" spans="1:7" ht="20.25" customHeight="1" thickBot="1">
      <c r="A193" s="89" t="s">
        <v>260</v>
      </c>
      <c r="B193" s="90"/>
      <c r="C193" s="90"/>
      <c r="D193" s="90"/>
      <c r="E193" s="94"/>
      <c r="F193" s="134">
        <f>F112*F140</f>
        <v>20607.608567255305</v>
      </c>
      <c r="G193" s="142" t="s">
        <v>301</v>
      </c>
    </row>
    <row r="194" spans="1:7" ht="15.75" thickBot="1">
      <c r="A194" s="89" t="s">
        <v>115</v>
      </c>
      <c r="B194" s="90"/>
      <c r="C194" s="90"/>
      <c r="D194" s="90"/>
      <c r="E194" s="94"/>
      <c r="F194" s="134">
        <f>F192+F193</f>
        <v>111519.92621561559</v>
      </c>
      <c r="G194" s="142" t="s">
        <v>116</v>
      </c>
    </row>
    <row r="195" spans="1:7" ht="16.5" customHeight="1" thickBot="1">
      <c r="A195" s="89" t="s">
        <v>117</v>
      </c>
      <c r="B195" s="90"/>
      <c r="C195" s="90"/>
      <c r="D195" s="90"/>
      <c r="E195" s="94"/>
      <c r="F195" s="166">
        <v>0.6</v>
      </c>
      <c r="G195" s="142" t="s">
        <v>51</v>
      </c>
    </row>
    <row r="196" spans="1:7" ht="15.75" thickBot="1">
      <c r="A196" s="89" t="s">
        <v>118</v>
      </c>
      <c r="B196" s="90"/>
      <c r="C196" s="90"/>
      <c r="D196" s="90"/>
      <c r="E196" s="94"/>
      <c r="F196" s="134">
        <f>F194/F195</f>
        <v>185866.54369269265</v>
      </c>
      <c r="G196" s="142" t="s">
        <v>131</v>
      </c>
    </row>
    <row r="197" spans="1:7" ht="15.75" thickBot="1">
      <c r="A197" s="89" t="s">
        <v>119</v>
      </c>
      <c r="B197" s="90"/>
      <c r="C197" s="90"/>
      <c r="D197" s="90"/>
      <c r="E197" s="94"/>
      <c r="F197" s="132">
        <f>F196/10000</f>
        <v>18.586654369269265</v>
      </c>
      <c r="G197" s="142" t="s">
        <v>143</v>
      </c>
    </row>
    <row r="198" spans="1:7" ht="15.75" thickBot="1">
      <c r="A198" s="109"/>
      <c r="B198" s="114"/>
      <c r="C198" s="114"/>
      <c r="D198" s="114"/>
      <c r="E198" s="115"/>
      <c r="F198" s="140">
        <f>ROUNDUP(F197,0)</f>
        <v>19</v>
      </c>
      <c r="G198" s="142"/>
    </row>
    <row r="199" spans="1:7" ht="15.75" thickBot="1">
      <c r="A199" s="89" t="s">
        <v>285</v>
      </c>
      <c r="B199" s="90"/>
      <c r="C199" s="90"/>
      <c r="D199" s="90"/>
      <c r="E199" s="94"/>
      <c r="F199" s="164">
        <f>F166</f>
        <v>81.66</v>
      </c>
      <c r="G199" s="142" t="s">
        <v>71</v>
      </c>
    </row>
    <row r="200" spans="1:7" ht="15.75" thickBot="1">
      <c r="A200" s="89" t="s">
        <v>120</v>
      </c>
      <c r="B200" s="90"/>
      <c r="C200" s="90"/>
      <c r="D200" s="91"/>
      <c r="E200" s="92"/>
      <c r="F200" s="164">
        <f>F148-F199</f>
        <v>75</v>
      </c>
      <c r="G200" s="142" t="s">
        <v>71</v>
      </c>
    </row>
    <row r="201" spans="1:7" ht="16.5" customHeight="1">
      <c r="A201" s="25" t="s">
        <v>172</v>
      </c>
      <c r="B201" s="26"/>
      <c r="C201" s="26"/>
      <c r="D201" s="26"/>
      <c r="E201" s="26"/>
      <c r="F201" s="26"/>
      <c r="G201" s="26"/>
    </row>
    <row r="202" spans="1:7" ht="15">
      <c r="A202" s="36" t="s">
        <v>262</v>
      </c>
      <c r="B202" s="36"/>
      <c r="C202" s="36"/>
      <c r="D202" s="36"/>
      <c r="E202" s="36"/>
      <c r="F202" s="167">
        <f>F7*1000000/108</f>
        <v>231481.4814814815</v>
      </c>
      <c r="G202" s="51"/>
    </row>
    <row r="203" spans="1:7" ht="25.5" customHeight="1">
      <c r="A203" s="36" t="s">
        <v>263</v>
      </c>
      <c r="B203" s="36"/>
      <c r="C203" s="36"/>
      <c r="D203" s="36"/>
      <c r="E203" s="36"/>
      <c r="F203" s="168">
        <v>0.04</v>
      </c>
      <c r="G203" s="171" t="s">
        <v>264</v>
      </c>
    </row>
    <row r="204" spans="1:7" ht="15">
      <c r="A204" s="36" t="s">
        <v>263</v>
      </c>
      <c r="B204" s="36"/>
      <c r="C204" s="36"/>
      <c r="D204" s="36"/>
      <c r="E204" s="36"/>
      <c r="F204" s="169">
        <f>F202*F203</f>
        <v>9259.25925925926</v>
      </c>
      <c r="G204" s="171" t="s">
        <v>265</v>
      </c>
    </row>
    <row r="205" spans="1:7" ht="15">
      <c r="A205" s="36" t="s">
        <v>266</v>
      </c>
      <c r="B205" s="36"/>
      <c r="C205" s="36"/>
      <c r="D205" s="36"/>
      <c r="E205" s="36"/>
      <c r="F205" s="169">
        <f>3*((F142+(F133*F134))*(F141+(F133*F134))*F134)</f>
        <v>8692.080818711254</v>
      </c>
      <c r="G205" s="51" t="s">
        <v>122</v>
      </c>
    </row>
    <row r="206" spans="1:7" ht="15">
      <c r="A206" s="36" t="s">
        <v>267</v>
      </c>
      <c r="B206" s="36"/>
      <c r="C206" s="36"/>
      <c r="D206" s="36"/>
      <c r="E206" s="36"/>
      <c r="F206" s="169">
        <f>F204/F205</f>
        <v>1.0652523201725244</v>
      </c>
      <c r="G206" s="171" t="s">
        <v>173</v>
      </c>
    </row>
    <row r="207" spans="1:7" ht="15">
      <c r="A207" s="36" t="s">
        <v>44</v>
      </c>
      <c r="B207" s="36"/>
      <c r="C207" s="36"/>
      <c r="D207" s="36"/>
      <c r="E207" s="36"/>
      <c r="F207" s="170">
        <f>F206</f>
        <v>1.0652523201725244</v>
      </c>
      <c r="G207" s="51" t="s">
        <v>173</v>
      </c>
    </row>
    <row r="208" spans="1:7" ht="16.5" customHeight="1">
      <c r="A208" s="18" t="s">
        <v>174</v>
      </c>
      <c r="B208" s="19"/>
      <c r="C208" s="19"/>
      <c r="D208" s="19"/>
      <c r="E208" s="19"/>
      <c r="F208" s="19"/>
      <c r="G208" s="19"/>
    </row>
    <row r="209" spans="1:7" ht="15">
      <c r="A209" s="36" t="s">
        <v>175</v>
      </c>
      <c r="B209" s="36"/>
      <c r="C209" s="36"/>
      <c r="D209" s="36"/>
      <c r="E209" s="36"/>
      <c r="F209" s="38"/>
      <c r="G209" s="38"/>
    </row>
    <row r="210" spans="1:7" ht="28.5" customHeight="1">
      <c r="A210" s="39" t="s">
        <v>177</v>
      </c>
      <c r="B210" s="39"/>
      <c r="C210" s="39"/>
      <c r="D210" s="39"/>
      <c r="E210" s="39"/>
      <c r="F210" s="38"/>
      <c r="G210" s="38"/>
    </row>
    <row r="211" spans="1:7" ht="15">
      <c r="A211" s="36" t="s">
        <v>176</v>
      </c>
      <c r="B211" s="36"/>
      <c r="C211" s="36"/>
      <c r="D211" s="36"/>
      <c r="E211" s="36"/>
      <c r="F211" s="172">
        <f>F50/2</f>
        <v>0.3255208333333333</v>
      </c>
      <c r="G211" s="51" t="s">
        <v>209</v>
      </c>
    </row>
    <row r="212" spans="1:7" ht="15">
      <c r="A212" s="36" t="s">
        <v>183</v>
      </c>
      <c r="B212" s="36"/>
      <c r="C212" s="36"/>
      <c r="D212" s="36"/>
      <c r="E212" s="36"/>
      <c r="F212" s="173">
        <v>1.5</v>
      </c>
      <c r="G212" s="51" t="s">
        <v>102</v>
      </c>
    </row>
    <row r="213" spans="1:7" ht="15">
      <c r="A213" s="36" t="s">
        <v>134</v>
      </c>
      <c r="B213" s="36"/>
      <c r="C213" s="36"/>
      <c r="D213" s="36"/>
      <c r="E213" s="36"/>
      <c r="F213" s="169">
        <f>(F211/(0.67*0.6*F212*((2*9.81)^0.5)))^0.67</f>
        <v>0.24409620264317713</v>
      </c>
      <c r="G213" s="51" t="s">
        <v>102</v>
      </c>
    </row>
    <row r="214" spans="1:7" ht="15">
      <c r="A214" s="36" t="s">
        <v>268</v>
      </c>
      <c r="B214" s="36"/>
      <c r="C214" s="36"/>
      <c r="D214" s="36"/>
      <c r="E214" s="36"/>
      <c r="F214" s="173">
        <v>0.1</v>
      </c>
      <c r="G214" s="51" t="s">
        <v>102</v>
      </c>
    </row>
    <row r="215" spans="1:7" ht="15">
      <c r="A215" s="36" t="s">
        <v>178</v>
      </c>
      <c r="B215" s="36"/>
      <c r="C215" s="36"/>
      <c r="D215" s="36"/>
      <c r="E215" s="36"/>
      <c r="F215" s="169">
        <f>F214+F213</f>
        <v>0.34409620264317714</v>
      </c>
      <c r="G215" s="51" t="s">
        <v>102</v>
      </c>
    </row>
    <row r="216" spans="1:7" ht="15">
      <c r="A216" s="36" t="s">
        <v>132</v>
      </c>
      <c r="B216" s="36"/>
      <c r="C216" s="36"/>
      <c r="D216" s="36"/>
      <c r="E216" s="36"/>
      <c r="F216" s="168">
        <v>0.3</v>
      </c>
      <c r="G216" s="51" t="s">
        <v>102</v>
      </c>
    </row>
    <row r="217" spans="1:7" ht="19.5" customHeight="1">
      <c r="A217" s="18" t="s">
        <v>184</v>
      </c>
      <c r="B217" s="19"/>
      <c r="C217" s="19"/>
      <c r="D217" s="19"/>
      <c r="E217" s="19"/>
      <c r="F217" s="19"/>
      <c r="G217" s="19"/>
    </row>
    <row r="218" spans="1:7" ht="15">
      <c r="A218" s="36" t="s">
        <v>179</v>
      </c>
      <c r="B218" s="36"/>
      <c r="C218" s="36"/>
      <c r="D218" s="36"/>
      <c r="E218" s="36"/>
      <c r="F218" s="169">
        <f>F211</f>
        <v>0.3255208333333333</v>
      </c>
      <c r="G218" s="51" t="s">
        <v>209</v>
      </c>
    </row>
    <row r="219" spans="1:7" ht="15">
      <c r="A219" s="36" t="s">
        <v>225</v>
      </c>
      <c r="B219" s="36"/>
      <c r="C219" s="36"/>
      <c r="D219" s="36"/>
      <c r="E219" s="36"/>
      <c r="F219" s="173">
        <v>0.75</v>
      </c>
      <c r="G219" s="51" t="s">
        <v>102</v>
      </c>
    </row>
    <row r="220" spans="1:7" ht="15">
      <c r="A220" s="36" t="s">
        <v>270</v>
      </c>
      <c r="B220" s="36"/>
      <c r="C220" s="36"/>
      <c r="D220" s="36"/>
      <c r="E220" s="36"/>
      <c r="F220" s="169">
        <f>F218/(0.785*F219*F219)</f>
        <v>0.7372021703231895</v>
      </c>
      <c r="G220" s="51" t="s">
        <v>135</v>
      </c>
    </row>
    <row r="221" spans="1:7" ht="15">
      <c r="A221" s="36" t="s">
        <v>185</v>
      </c>
      <c r="B221" s="36"/>
      <c r="C221" s="36"/>
      <c r="D221" s="36"/>
      <c r="E221" s="36"/>
      <c r="F221" s="174">
        <v>60</v>
      </c>
      <c r="G221" s="51" t="s">
        <v>102</v>
      </c>
    </row>
    <row r="222" spans="1:7" ht="15">
      <c r="A222" s="43" t="s">
        <v>180</v>
      </c>
      <c r="B222" s="44"/>
      <c r="C222" s="44"/>
      <c r="D222" s="44"/>
      <c r="E222" s="45"/>
      <c r="F222" s="175">
        <f>(0.01*F221*(F218^2))/(10*(0.75^5))</f>
        <v>0.026791838134430722</v>
      </c>
      <c r="G222" s="51" t="s">
        <v>102</v>
      </c>
    </row>
    <row r="223" spans="1:7" ht="15">
      <c r="A223" s="43" t="s">
        <v>181</v>
      </c>
      <c r="B223" s="44"/>
      <c r="C223" s="44"/>
      <c r="D223" s="44"/>
      <c r="E223" s="45"/>
      <c r="F223" s="175">
        <f>(1.5*(F220^2))/(2*9.81)</f>
        <v>0.041549467884497</v>
      </c>
      <c r="G223" s="51" t="s">
        <v>102</v>
      </c>
    </row>
    <row r="224" spans="1:7" ht="15">
      <c r="A224" s="43" t="s">
        <v>182</v>
      </c>
      <c r="B224" s="44"/>
      <c r="C224" s="44"/>
      <c r="D224" s="44"/>
      <c r="E224" s="45"/>
      <c r="F224" s="175">
        <f>F222+F223</f>
        <v>0.06834130601892772</v>
      </c>
      <c r="G224" s="38" t="s">
        <v>102</v>
      </c>
    </row>
    <row r="225" spans="1:7" ht="16.5" customHeight="1">
      <c r="A225" s="18" t="s">
        <v>186</v>
      </c>
      <c r="B225" s="19"/>
      <c r="C225" s="19"/>
      <c r="D225" s="19"/>
      <c r="E225" s="19"/>
      <c r="F225" s="19"/>
      <c r="G225" s="19"/>
    </row>
    <row r="226" spans="1:7" ht="15">
      <c r="A226" s="36" t="s">
        <v>179</v>
      </c>
      <c r="B226" s="36"/>
      <c r="C226" s="36"/>
      <c r="D226" s="36"/>
      <c r="E226" s="36"/>
      <c r="F226" s="175">
        <f>F218</f>
        <v>0.3255208333333333</v>
      </c>
      <c r="G226" s="51" t="s">
        <v>209</v>
      </c>
    </row>
    <row r="227" spans="1:7" ht="15">
      <c r="A227" s="36" t="s">
        <v>133</v>
      </c>
      <c r="B227" s="36"/>
      <c r="C227" s="36"/>
      <c r="D227" s="36"/>
      <c r="E227" s="36"/>
      <c r="F227" s="173">
        <v>3</v>
      </c>
      <c r="G227" s="51" t="s">
        <v>102</v>
      </c>
    </row>
    <row r="228" spans="1:7" ht="29.25" customHeight="1">
      <c r="A228" s="39" t="s">
        <v>187</v>
      </c>
      <c r="B228" s="39"/>
      <c r="C228" s="39"/>
      <c r="D228" s="39"/>
      <c r="E228" s="39"/>
      <c r="F228" s="169">
        <f>(F226/(0.67*0.6*F227*((2*9.81)^0.5)))^0.67</f>
        <v>0.15341609569623205</v>
      </c>
      <c r="G228" s="51" t="s">
        <v>102</v>
      </c>
    </row>
    <row r="229" spans="1:7" ht="15">
      <c r="A229" s="36" t="s">
        <v>269</v>
      </c>
      <c r="B229" s="36"/>
      <c r="C229" s="36"/>
      <c r="D229" s="36"/>
      <c r="E229" s="36"/>
      <c r="F229" s="173">
        <v>0.1</v>
      </c>
      <c r="G229" s="51" t="s">
        <v>102</v>
      </c>
    </row>
    <row r="230" spans="1:7" ht="15">
      <c r="A230" s="36" t="s">
        <v>178</v>
      </c>
      <c r="B230" s="36"/>
      <c r="C230" s="36"/>
      <c r="D230" s="36"/>
      <c r="E230" s="36"/>
      <c r="F230" s="37">
        <f>F228+F229</f>
        <v>0.253416095696232</v>
      </c>
      <c r="G230" s="51" t="s">
        <v>102</v>
      </c>
    </row>
    <row r="231" spans="1:7" ht="19.5" customHeight="1">
      <c r="A231" s="18" t="s">
        <v>188</v>
      </c>
      <c r="B231" s="19"/>
      <c r="C231" s="19"/>
      <c r="D231" s="19"/>
      <c r="E231" s="19"/>
      <c r="F231" s="19"/>
      <c r="G231" s="19"/>
    </row>
    <row r="232" spans="1:7" ht="15">
      <c r="A232" s="36" t="s">
        <v>210</v>
      </c>
      <c r="B232" s="36"/>
      <c r="C232" s="36"/>
      <c r="D232" s="36"/>
      <c r="E232" s="36"/>
      <c r="F232" s="175">
        <f>F226</f>
        <v>0.3255208333333333</v>
      </c>
      <c r="G232" s="51" t="s">
        <v>209</v>
      </c>
    </row>
    <row r="233" spans="1:7" ht="15">
      <c r="A233" s="36" t="s">
        <v>225</v>
      </c>
      <c r="B233" s="36"/>
      <c r="C233" s="36"/>
      <c r="D233" s="36"/>
      <c r="E233" s="36"/>
      <c r="F233" s="175">
        <v>0.75</v>
      </c>
      <c r="G233" s="51" t="s">
        <v>102</v>
      </c>
    </row>
    <row r="234" spans="1:7" ht="15">
      <c r="A234" s="46" t="s">
        <v>271</v>
      </c>
      <c r="B234" s="46"/>
      <c r="C234" s="46"/>
      <c r="D234" s="46"/>
      <c r="E234" s="46"/>
      <c r="F234" s="169">
        <f>F232/(0.785*0.75*0.75)</f>
        <v>0.7372021703231895</v>
      </c>
      <c r="G234" s="51" t="s">
        <v>135</v>
      </c>
    </row>
    <row r="235" spans="1:7" ht="15">
      <c r="A235" s="36" t="s">
        <v>185</v>
      </c>
      <c r="B235" s="36"/>
      <c r="C235" s="36"/>
      <c r="D235" s="36"/>
      <c r="E235" s="36"/>
      <c r="F235" s="174">
        <v>40</v>
      </c>
      <c r="G235" s="51" t="s">
        <v>102</v>
      </c>
    </row>
    <row r="236" spans="1:7" ht="15">
      <c r="A236" s="36" t="s">
        <v>180</v>
      </c>
      <c r="B236" s="36"/>
      <c r="C236" s="36"/>
      <c r="D236" s="36"/>
      <c r="E236" s="36"/>
      <c r="F236" s="175">
        <f>(0.01*F235*(F232^2))/(10*(0.75^5))</f>
        <v>0.017861225422953816</v>
      </c>
      <c r="G236" s="51" t="s">
        <v>102</v>
      </c>
    </row>
    <row r="237" spans="1:7" ht="15">
      <c r="A237" s="36" t="s">
        <v>181</v>
      </c>
      <c r="B237" s="36"/>
      <c r="C237" s="36"/>
      <c r="D237" s="36"/>
      <c r="E237" s="36"/>
      <c r="F237" s="175">
        <f>(1.5*(F234^2))/(2*9.81)</f>
        <v>0.041549467884497</v>
      </c>
      <c r="G237" s="51" t="s">
        <v>102</v>
      </c>
    </row>
    <row r="238" spans="1:7" ht="15">
      <c r="A238" s="36" t="s">
        <v>182</v>
      </c>
      <c r="B238" s="36"/>
      <c r="C238" s="36"/>
      <c r="D238" s="36"/>
      <c r="E238" s="36"/>
      <c r="F238" s="175">
        <f>F236+F237</f>
        <v>0.059410693307450815</v>
      </c>
      <c r="G238" s="51" t="s">
        <v>102</v>
      </c>
    </row>
    <row r="239" spans="1:7" ht="16.5" customHeight="1">
      <c r="A239" s="18" t="s">
        <v>189</v>
      </c>
      <c r="B239" s="19"/>
      <c r="C239" s="19"/>
      <c r="D239" s="19"/>
      <c r="E239" s="19"/>
      <c r="F239" s="19"/>
      <c r="G239" s="19"/>
    </row>
    <row r="240" spans="1:7" ht="15">
      <c r="A240" s="36" t="s">
        <v>211</v>
      </c>
      <c r="B240" s="36"/>
      <c r="C240" s="36"/>
      <c r="D240" s="36"/>
      <c r="E240" s="36"/>
      <c r="F240" s="175">
        <f>F232/E9</f>
        <v>0.14467592592592593</v>
      </c>
      <c r="G240" s="51" t="s">
        <v>209</v>
      </c>
    </row>
    <row r="241" spans="1:7" ht="15">
      <c r="A241" s="36" t="s">
        <v>133</v>
      </c>
      <c r="B241" s="36"/>
      <c r="C241" s="36"/>
      <c r="D241" s="36"/>
      <c r="E241" s="36"/>
      <c r="F241" s="173">
        <v>3</v>
      </c>
      <c r="G241" s="51" t="s">
        <v>102</v>
      </c>
    </row>
    <row r="242" spans="1:9" ht="15">
      <c r="A242" s="39" t="s">
        <v>187</v>
      </c>
      <c r="B242" s="39"/>
      <c r="C242" s="39"/>
      <c r="D242" s="39"/>
      <c r="E242" s="39"/>
      <c r="F242" s="169">
        <f>(F240/(0.67*0.6*F241*((2*9.81)^0.5)))^0.67</f>
        <v>0.0891063468545824</v>
      </c>
      <c r="G242" s="51" t="s">
        <v>102</v>
      </c>
      <c r="I242" s="5"/>
    </row>
    <row r="243" spans="1:7" ht="15">
      <c r="A243" s="36" t="s">
        <v>269</v>
      </c>
      <c r="B243" s="36"/>
      <c r="C243" s="36"/>
      <c r="D243" s="36"/>
      <c r="E243" s="36"/>
      <c r="F243" s="172">
        <v>0.1</v>
      </c>
      <c r="G243" s="51" t="s">
        <v>102</v>
      </c>
    </row>
    <row r="244" spans="1:7" ht="15">
      <c r="A244" s="36" t="s">
        <v>178</v>
      </c>
      <c r="B244" s="36"/>
      <c r="C244" s="36"/>
      <c r="D244" s="36"/>
      <c r="E244" s="36"/>
      <c r="F244" s="169">
        <f>F242+F243</f>
        <v>0.18910634685458239</v>
      </c>
      <c r="G244" s="51" t="s">
        <v>102</v>
      </c>
    </row>
    <row r="245" spans="1:7" ht="15">
      <c r="A245" s="36" t="s">
        <v>191</v>
      </c>
      <c r="B245" s="36"/>
      <c r="C245" s="36"/>
      <c r="D245" s="36"/>
      <c r="E245" s="36"/>
      <c r="F245" s="169">
        <f>F241/2</f>
        <v>1.5</v>
      </c>
      <c r="G245" s="51" t="s">
        <v>102</v>
      </c>
    </row>
    <row r="246" spans="1:7" ht="17.25" customHeight="1">
      <c r="A246" s="18" t="s">
        <v>190</v>
      </c>
      <c r="B246" s="19"/>
      <c r="C246" s="19"/>
      <c r="D246" s="19"/>
      <c r="E246" s="19"/>
      <c r="F246" s="19"/>
      <c r="G246" s="19"/>
    </row>
    <row r="247" spans="1:7" ht="15">
      <c r="A247" s="36" t="s">
        <v>211</v>
      </c>
      <c r="B247" s="36"/>
      <c r="C247" s="36"/>
      <c r="D247" s="36"/>
      <c r="E247" s="36"/>
      <c r="F247" s="175">
        <f>F240</f>
        <v>0.14467592592592593</v>
      </c>
      <c r="G247" s="51" t="s">
        <v>209</v>
      </c>
    </row>
    <row r="248" spans="1:7" ht="15">
      <c r="A248" s="36" t="s">
        <v>228</v>
      </c>
      <c r="B248" s="36"/>
      <c r="C248" s="36"/>
      <c r="D248" s="36"/>
      <c r="E248" s="36"/>
      <c r="F248" s="176">
        <v>0.6</v>
      </c>
      <c r="G248" s="51" t="s">
        <v>102</v>
      </c>
    </row>
    <row r="249" spans="1:7" ht="15">
      <c r="A249" s="36" t="s">
        <v>270</v>
      </c>
      <c r="B249" s="36"/>
      <c r="C249" s="36"/>
      <c r="D249" s="36"/>
      <c r="E249" s="36"/>
      <c r="F249" s="169">
        <f>F247/(0.785*F248*F248)</f>
        <v>0.5119459516133261</v>
      </c>
      <c r="G249" s="51" t="s">
        <v>135</v>
      </c>
    </row>
    <row r="250" spans="1:7" ht="15">
      <c r="A250" s="36" t="s">
        <v>185</v>
      </c>
      <c r="B250" s="36"/>
      <c r="C250" s="36"/>
      <c r="D250" s="36"/>
      <c r="E250" s="36"/>
      <c r="F250" s="174">
        <v>40</v>
      </c>
      <c r="G250" s="51" t="s">
        <v>102</v>
      </c>
    </row>
    <row r="251" spans="1:7" ht="15">
      <c r="A251" s="36" t="s">
        <v>180</v>
      </c>
      <c r="B251" s="36"/>
      <c r="C251" s="36"/>
      <c r="D251" s="36"/>
      <c r="E251" s="36"/>
      <c r="F251" s="175">
        <f>(0.01*F250*(F247^2))/(10*(0.6^5))</f>
        <v>0.01076703885932305</v>
      </c>
      <c r="G251" s="51" t="s">
        <v>102</v>
      </c>
    </row>
    <row r="252" spans="1:7" ht="15">
      <c r="A252" s="36" t="s">
        <v>181</v>
      </c>
      <c r="B252" s="36"/>
      <c r="C252" s="36"/>
      <c r="D252" s="36"/>
      <c r="E252" s="36"/>
      <c r="F252" s="175">
        <f>(1.5*(F249^2))/(2*9.81)</f>
        <v>0.020037359126397095</v>
      </c>
      <c r="G252" s="51" t="s">
        <v>102</v>
      </c>
    </row>
    <row r="253" spans="1:7" ht="15">
      <c r="A253" s="36" t="s">
        <v>182</v>
      </c>
      <c r="B253" s="36"/>
      <c r="C253" s="36"/>
      <c r="D253" s="36"/>
      <c r="E253" s="36"/>
      <c r="F253" s="42">
        <f>F251+F252</f>
        <v>0.030804397985720145</v>
      </c>
      <c r="G253" s="51" t="s">
        <v>102</v>
      </c>
    </row>
    <row r="254" spans="1:7" ht="18.75" customHeight="1">
      <c r="A254" s="18" t="s">
        <v>192</v>
      </c>
      <c r="B254" s="19"/>
      <c r="C254" s="19"/>
      <c r="D254" s="19"/>
      <c r="E254" s="19"/>
      <c r="F254" s="19"/>
      <c r="G254" s="19"/>
    </row>
    <row r="255" spans="1:7" ht="15">
      <c r="A255" s="36" t="s">
        <v>212</v>
      </c>
      <c r="B255" s="36"/>
      <c r="C255" s="36"/>
      <c r="D255" s="36"/>
      <c r="E255" s="36"/>
      <c r="F255" s="42">
        <f>F247</f>
        <v>0.14467592592592593</v>
      </c>
      <c r="G255" s="38" t="s">
        <v>209</v>
      </c>
    </row>
    <row r="256" spans="1:7" ht="15">
      <c r="A256" s="36" t="s">
        <v>133</v>
      </c>
      <c r="B256" s="36"/>
      <c r="C256" s="36"/>
      <c r="D256" s="36"/>
      <c r="E256" s="36"/>
      <c r="F256" s="40">
        <v>3</v>
      </c>
      <c r="G256" s="38" t="s">
        <v>102</v>
      </c>
    </row>
    <row r="257" spans="1:7" ht="15">
      <c r="A257" s="39" t="s">
        <v>187</v>
      </c>
      <c r="B257" s="39"/>
      <c r="C257" s="39"/>
      <c r="D257" s="39"/>
      <c r="E257" s="39"/>
      <c r="F257" s="37">
        <f>(F255/(0.67*0.6*F256*((2*9.81)^0.5)))^0.67</f>
        <v>0.0891063468545824</v>
      </c>
      <c r="G257" s="38" t="s">
        <v>102</v>
      </c>
    </row>
    <row r="258" spans="1:7" ht="15">
      <c r="A258" s="36" t="s">
        <v>269</v>
      </c>
      <c r="B258" s="36"/>
      <c r="C258" s="36"/>
      <c r="D258" s="36"/>
      <c r="E258" s="36"/>
      <c r="F258" s="38">
        <v>0.1</v>
      </c>
      <c r="G258" s="38" t="s">
        <v>102</v>
      </c>
    </row>
    <row r="259" spans="1:7" ht="15">
      <c r="A259" s="36" t="s">
        <v>178</v>
      </c>
      <c r="B259" s="36"/>
      <c r="C259" s="36"/>
      <c r="D259" s="36"/>
      <c r="E259" s="36"/>
      <c r="F259" s="47">
        <f>F257+F258</f>
        <v>0.18910634685458239</v>
      </c>
      <c r="G259" s="38" t="s">
        <v>102</v>
      </c>
    </row>
    <row r="260" spans="1:7" ht="18.75" customHeight="1">
      <c r="A260" s="18" t="s">
        <v>194</v>
      </c>
      <c r="B260" s="19"/>
      <c r="C260" s="19"/>
      <c r="D260" s="19"/>
      <c r="E260" s="19"/>
      <c r="F260" s="19"/>
      <c r="G260" s="19"/>
    </row>
    <row r="261" spans="1:7" ht="15">
      <c r="A261" s="36" t="s">
        <v>212</v>
      </c>
      <c r="B261" s="36"/>
      <c r="C261" s="36"/>
      <c r="D261" s="36"/>
      <c r="E261" s="36"/>
      <c r="F261" s="42">
        <f>F255</f>
        <v>0.14467592592592593</v>
      </c>
      <c r="G261" s="38" t="s">
        <v>209</v>
      </c>
    </row>
    <row r="262" spans="1:7" ht="15">
      <c r="A262" s="36" t="s">
        <v>272</v>
      </c>
      <c r="B262" s="36"/>
      <c r="C262" s="36"/>
      <c r="D262" s="36"/>
      <c r="E262" s="36"/>
      <c r="F262" s="42">
        <v>0.6</v>
      </c>
      <c r="G262" s="38" t="s">
        <v>102</v>
      </c>
    </row>
    <row r="263" spans="1:7" ht="15">
      <c r="A263" s="36" t="s">
        <v>270</v>
      </c>
      <c r="B263" s="36"/>
      <c r="C263" s="36"/>
      <c r="D263" s="36"/>
      <c r="E263" s="36"/>
      <c r="F263" s="37">
        <f>F261/(0.785*F262*F262)</f>
        <v>0.5119459516133261</v>
      </c>
      <c r="G263" s="38" t="s">
        <v>135</v>
      </c>
    </row>
    <row r="264" spans="1:7" ht="15">
      <c r="A264" s="36" t="s">
        <v>185</v>
      </c>
      <c r="B264" s="36"/>
      <c r="C264" s="36"/>
      <c r="D264" s="36"/>
      <c r="E264" s="36"/>
      <c r="F264" s="41">
        <v>40</v>
      </c>
      <c r="G264" s="38" t="s">
        <v>102</v>
      </c>
    </row>
    <row r="265" spans="1:7" ht="15">
      <c r="A265" s="36" t="s">
        <v>180</v>
      </c>
      <c r="B265" s="36"/>
      <c r="C265" s="36"/>
      <c r="D265" s="36"/>
      <c r="E265" s="36"/>
      <c r="F265" s="42">
        <f>(0.01*F264*(F261^2))/(10*(0.6^5))</f>
        <v>0.01076703885932305</v>
      </c>
      <c r="G265" s="38" t="s">
        <v>102</v>
      </c>
    </row>
    <row r="266" spans="1:7" ht="15">
      <c r="A266" s="36" t="s">
        <v>181</v>
      </c>
      <c r="B266" s="36"/>
      <c r="C266" s="36"/>
      <c r="D266" s="36"/>
      <c r="E266" s="36"/>
      <c r="F266" s="42">
        <f>(1.5*(F263^2))/(2*9.81)</f>
        <v>0.020037359126397095</v>
      </c>
      <c r="G266" s="38" t="s">
        <v>102</v>
      </c>
    </row>
    <row r="267" spans="1:7" ht="15">
      <c r="A267" s="36" t="s">
        <v>182</v>
      </c>
      <c r="B267" s="36"/>
      <c r="C267" s="36"/>
      <c r="D267" s="36"/>
      <c r="E267" s="36"/>
      <c r="F267" s="42">
        <f>F265+F266</f>
        <v>0.030804397985720145</v>
      </c>
      <c r="G267" s="38" t="s">
        <v>102</v>
      </c>
    </row>
    <row r="268" spans="1:7" ht="19.5" customHeight="1">
      <c r="A268" s="18" t="s">
        <v>195</v>
      </c>
      <c r="B268" s="19"/>
      <c r="C268" s="19"/>
      <c r="D268" s="19"/>
      <c r="E268" s="19"/>
      <c r="F268" s="19"/>
      <c r="G268" s="19"/>
    </row>
    <row r="269" spans="1:7" ht="15">
      <c r="A269" s="36" t="s">
        <v>193</v>
      </c>
      <c r="B269" s="36"/>
      <c r="C269" s="36"/>
      <c r="D269" s="36"/>
      <c r="E269" s="36"/>
      <c r="F269" s="42">
        <f>F261</f>
        <v>0.14467592592592593</v>
      </c>
      <c r="G269" s="38" t="s">
        <v>209</v>
      </c>
    </row>
    <row r="270" spans="1:7" ht="15">
      <c r="A270" s="36" t="s">
        <v>273</v>
      </c>
      <c r="B270" s="36"/>
      <c r="C270" s="36"/>
      <c r="D270" s="36"/>
      <c r="E270" s="36"/>
      <c r="F270" s="42">
        <v>0.6</v>
      </c>
      <c r="G270" s="38" t="s">
        <v>102</v>
      </c>
    </row>
    <row r="271" spans="1:7" ht="15">
      <c r="A271" s="36" t="s">
        <v>270</v>
      </c>
      <c r="B271" s="36"/>
      <c r="C271" s="36"/>
      <c r="D271" s="36"/>
      <c r="E271" s="36"/>
      <c r="F271" s="37">
        <f>F269/(0.785*F270*F270)</f>
        <v>0.5119459516133261</v>
      </c>
      <c r="G271" s="38" t="s">
        <v>135</v>
      </c>
    </row>
    <row r="272" spans="1:7" ht="15">
      <c r="A272" s="36" t="s">
        <v>185</v>
      </c>
      <c r="B272" s="36"/>
      <c r="C272" s="36"/>
      <c r="D272" s="36"/>
      <c r="E272" s="36"/>
      <c r="F272" s="41">
        <v>40</v>
      </c>
      <c r="G272" s="38" t="s">
        <v>102</v>
      </c>
    </row>
    <row r="273" spans="1:7" ht="15">
      <c r="A273" s="36" t="s">
        <v>180</v>
      </c>
      <c r="B273" s="36"/>
      <c r="C273" s="36"/>
      <c r="D273" s="36"/>
      <c r="E273" s="36"/>
      <c r="F273" s="42">
        <f>(0.01*F272*(F269^2))/(10*(0.6^5))</f>
        <v>0.01076703885932305</v>
      </c>
      <c r="G273" s="38" t="s">
        <v>102</v>
      </c>
    </row>
    <row r="274" spans="1:7" ht="15">
      <c r="A274" s="36" t="s">
        <v>181</v>
      </c>
      <c r="B274" s="36"/>
      <c r="C274" s="36"/>
      <c r="D274" s="36"/>
      <c r="E274" s="36"/>
      <c r="F274" s="42">
        <f>(1.5*(F271^2))/(2*9.81)</f>
        <v>0.020037359126397095</v>
      </c>
      <c r="G274" s="38" t="s">
        <v>102</v>
      </c>
    </row>
    <row r="275" spans="1:7" ht="15">
      <c r="A275" s="36" t="s">
        <v>182</v>
      </c>
      <c r="B275" s="36"/>
      <c r="C275" s="36"/>
      <c r="D275" s="36"/>
      <c r="E275" s="36"/>
      <c r="F275" s="42">
        <f>F273+F274</f>
        <v>0.030804397985720145</v>
      </c>
      <c r="G275" s="38" t="s">
        <v>102</v>
      </c>
    </row>
    <row r="276" spans="1:7" ht="18.75" customHeight="1">
      <c r="A276" s="18" t="s">
        <v>197</v>
      </c>
      <c r="B276" s="19"/>
      <c r="C276" s="19"/>
      <c r="D276" s="19"/>
      <c r="E276" s="19"/>
      <c r="F276" s="19"/>
      <c r="G276" s="19"/>
    </row>
    <row r="277" spans="1:7" ht="15">
      <c r="A277" s="36" t="s">
        <v>193</v>
      </c>
      <c r="B277" s="36"/>
      <c r="C277" s="36"/>
      <c r="D277" s="36"/>
      <c r="E277" s="36"/>
      <c r="F277" s="42">
        <f>F269*2</f>
        <v>0.28935185185185186</v>
      </c>
      <c r="G277" s="38" t="s">
        <v>209</v>
      </c>
    </row>
    <row r="278" spans="1:7" ht="15">
      <c r="A278" s="36" t="s">
        <v>274</v>
      </c>
      <c r="B278" s="36"/>
      <c r="C278" s="36"/>
      <c r="D278" s="36"/>
      <c r="E278" s="36"/>
      <c r="F278" s="37">
        <v>0.8</v>
      </c>
      <c r="G278" s="38" t="s">
        <v>102</v>
      </c>
    </row>
    <row r="279" spans="1:7" ht="15">
      <c r="A279" s="36" t="s">
        <v>196</v>
      </c>
      <c r="B279" s="36"/>
      <c r="C279" s="36"/>
      <c r="D279" s="36"/>
      <c r="E279" s="36"/>
      <c r="F279" s="37">
        <f>F277/(0.785*((F278)^2))</f>
        <v>0.5759391955649917</v>
      </c>
      <c r="G279" s="38"/>
    </row>
    <row r="280" spans="1:7" ht="15">
      <c r="A280" s="36" t="s">
        <v>185</v>
      </c>
      <c r="B280" s="36"/>
      <c r="C280" s="36"/>
      <c r="D280" s="36"/>
      <c r="E280" s="36"/>
      <c r="F280" s="41">
        <v>160</v>
      </c>
      <c r="G280" s="38" t="s">
        <v>102</v>
      </c>
    </row>
    <row r="281" spans="1:7" ht="15">
      <c r="A281" s="36" t="s">
        <v>180</v>
      </c>
      <c r="B281" s="36"/>
      <c r="C281" s="36"/>
      <c r="D281" s="36"/>
      <c r="E281" s="36"/>
      <c r="F281" s="42">
        <f>(0.01*F280*(F277^2))/(10*((F278)^5))</f>
        <v>0.04088110066899218</v>
      </c>
      <c r="G281" s="38" t="s">
        <v>102</v>
      </c>
    </row>
    <row r="282" spans="1:7" ht="15">
      <c r="A282" s="36" t="s">
        <v>181</v>
      </c>
      <c r="B282" s="36"/>
      <c r="C282" s="36"/>
      <c r="D282" s="36"/>
      <c r="E282" s="36"/>
      <c r="F282" s="42">
        <f>(1.5*(F279^2))/(2*9.81)</f>
        <v>0.02535978264434631</v>
      </c>
      <c r="G282" s="38" t="s">
        <v>102</v>
      </c>
    </row>
    <row r="283" spans="1:7" ht="15">
      <c r="A283" s="36" t="s">
        <v>182</v>
      </c>
      <c r="B283" s="36"/>
      <c r="C283" s="36"/>
      <c r="D283" s="36"/>
      <c r="E283" s="36"/>
      <c r="F283" s="42">
        <f>F281+F282</f>
        <v>0.0662408833133385</v>
      </c>
      <c r="G283" s="38" t="s">
        <v>102</v>
      </c>
    </row>
    <row r="284" spans="1:7" ht="15">
      <c r="A284" s="48" t="s">
        <v>213</v>
      </c>
      <c r="B284" s="48"/>
      <c r="C284" s="48"/>
      <c r="D284" s="48"/>
      <c r="E284" s="48"/>
      <c r="F284" s="42"/>
      <c r="G284" s="38"/>
    </row>
    <row r="285" spans="1:7" ht="15">
      <c r="A285" s="36" t="s">
        <v>214</v>
      </c>
      <c r="B285" s="36"/>
      <c r="C285" s="36"/>
      <c r="D285" s="36"/>
      <c r="E285" s="36"/>
      <c r="F285" s="49">
        <v>1</v>
      </c>
      <c r="G285" s="38" t="s">
        <v>135</v>
      </c>
    </row>
    <row r="286" spans="1:7" ht="15">
      <c r="A286" s="36" t="s">
        <v>8</v>
      </c>
      <c r="B286" s="36"/>
      <c r="C286" s="36"/>
      <c r="D286" s="36"/>
      <c r="E286" s="36"/>
      <c r="F286" s="42">
        <f>F277/F285</f>
        <v>0.28935185185185186</v>
      </c>
      <c r="G286" s="38" t="s">
        <v>131</v>
      </c>
    </row>
    <row r="287" spans="1:7" ht="15">
      <c r="A287" s="36" t="s">
        <v>215</v>
      </c>
      <c r="B287" s="36"/>
      <c r="C287" s="36"/>
      <c r="D287" s="36"/>
      <c r="E287" s="36"/>
      <c r="F287" s="49">
        <f>(F286/2)^0.5</f>
        <v>0.38036288715636535</v>
      </c>
      <c r="G287" s="38" t="s">
        <v>102</v>
      </c>
    </row>
    <row r="288" spans="1:7" ht="15">
      <c r="A288" s="36" t="s">
        <v>9</v>
      </c>
      <c r="B288" s="36"/>
      <c r="C288" s="36"/>
      <c r="D288" s="36"/>
      <c r="E288" s="36"/>
      <c r="F288" s="49">
        <f>2*F287</f>
        <v>0.7607257743127307</v>
      </c>
      <c r="G288" s="38" t="s">
        <v>102</v>
      </c>
    </row>
    <row r="289" spans="1:7" ht="15">
      <c r="A289" s="36" t="s">
        <v>216</v>
      </c>
      <c r="B289" s="36"/>
      <c r="C289" s="36"/>
      <c r="D289" s="36"/>
      <c r="E289" s="36"/>
      <c r="F289" s="50">
        <f>(F285*0.013/(1.6^0.67))^2</f>
        <v>9.002557996081946E-05</v>
      </c>
      <c r="G289" s="38"/>
    </row>
    <row r="290" spans="1:7" ht="15">
      <c r="A290" s="36" t="s">
        <v>44</v>
      </c>
      <c r="B290" s="36"/>
      <c r="C290" s="36"/>
      <c r="D290" s="36"/>
      <c r="E290" s="36"/>
      <c r="F290" s="49">
        <f>F289*1000</f>
        <v>0.09002557996081946</v>
      </c>
      <c r="G290" s="38" t="s">
        <v>275</v>
      </c>
    </row>
    <row r="291" spans="1:7" ht="16.5" customHeight="1">
      <c r="A291" s="18" t="s">
        <v>198</v>
      </c>
      <c r="B291" s="19"/>
      <c r="C291" s="19"/>
      <c r="D291" s="19"/>
      <c r="E291" s="19"/>
      <c r="F291" s="19"/>
      <c r="G291" s="19"/>
    </row>
    <row r="292" spans="1:7" ht="15">
      <c r="A292" s="36" t="s">
        <v>199</v>
      </c>
      <c r="B292" s="36"/>
      <c r="C292" s="36"/>
      <c r="D292" s="36"/>
      <c r="E292" s="36"/>
      <c r="F292" s="42">
        <f>F277</f>
        <v>0.28935185185185186</v>
      </c>
      <c r="G292" s="38" t="s">
        <v>209</v>
      </c>
    </row>
    <row r="293" spans="1:7" ht="15">
      <c r="A293" s="36" t="s">
        <v>207</v>
      </c>
      <c r="B293" s="36"/>
      <c r="C293" s="36"/>
      <c r="D293" s="36"/>
      <c r="E293" s="36"/>
      <c r="F293" s="37">
        <f>F292*1000</f>
        <v>289.35185185185185</v>
      </c>
      <c r="G293" s="38" t="s">
        <v>208</v>
      </c>
    </row>
    <row r="294" spans="1:7" ht="15">
      <c r="A294" s="36" t="s">
        <v>44</v>
      </c>
      <c r="B294" s="36"/>
      <c r="C294" s="36"/>
      <c r="D294" s="36"/>
      <c r="E294" s="36"/>
      <c r="F294" s="37">
        <f>ROUNDUP(F293,-1)</f>
        <v>290</v>
      </c>
      <c r="G294" s="38" t="s">
        <v>208</v>
      </c>
    </row>
    <row r="295" spans="1:7" ht="15">
      <c r="A295" s="36" t="s">
        <v>200</v>
      </c>
      <c r="B295" s="36"/>
      <c r="C295" s="36"/>
      <c r="D295" s="36"/>
      <c r="E295" s="36"/>
      <c r="F295" s="41">
        <v>15</v>
      </c>
      <c r="G295" s="38" t="s">
        <v>102</v>
      </c>
    </row>
    <row r="296" spans="1:7" ht="15">
      <c r="A296" s="36" t="s">
        <v>201</v>
      </c>
      <c r="B296" s="36"/>
      <c r="C296" s="36"/>
      <c r="D296" s="36"/>
      <c r="E296" s="36"/>
      <c r="F296" s="41">
        <v>2</v>
      </c>
      <c r="G296" s="38" t="s">
        <v>202</v>
      </c>
    </row>
    <row r="297" spans="1:7" ht="15">
      <c r="A297" s="36" t="s">
        <v>203</v>
      </c>
      <c r="B297" s="36"/>
      <c r="C297" s="36"/>
      <c r="D297" s="36"/>
      <c r="E297" s="36"/>
      <c r="F297" s="37">
        <f>F296</f>
        <v>2</v>
      </c>
      <c r="G297" s="38" t="s">
        <v>202</v>
      </c>
    </row>
    <row r="298" spans="1:7" ht="15">
      <c r="A298" s="36" t="s">
        <v>204</v>
      </c>
      <c r="B298" s="36"/>
      <c r="C298" s="36"/>
      <c r="D298" s="36"/>
      <c r="E298" s="36"/>
      <c r="F298" s="37">
        <f>F294/F296</f>
        <v>145</v>
      </c>
      <c r="G298" s="38" t="s">
        <v>31</v>
      </c>
    </row>
    <row r="299" spans="1:7" ht="15">
      <c r="A299" s="36" t="s">
        <v>205</v>
      </c>
      <c r="B299" s="36"/>
      <c r="C299" s="36"/>
      <c r="D299" s="36"/>
      <c r="E299" s="36"/>
      <c r="F299" s="41">
        <v>60</v>
      </c>
      <c r="G299" s="38" t="s">
        <v>51</v>
      </c>
    </row>
    <row r="300" spans="1:7" ht="15">
      <c r="A300" s="36" t="s">
        <v>206</v>
      </c>
      <c r="B300" s="36"/>
      <c r="C300" s="36"/>
      <c r="D300" s="36"/>
      <c r="E300" s="36"/>
      <c r="F300" s="37">
        <f>(F298*F295)/(102*(F299/100))</f>
        <v>35.53921568627451</v>
      </c>
      <c r="G300" s="38" t="s">
        <v>32</v>
      </c>
    </row>
    <row r="301" spans="1:7" ht="15">
      <c r="A301" s="36" t="s">
        <v>276</v>
      </c>
      <c r="B301" s="36"/>
      <c r="C301" s="36"/>
      <c r="D301" s="36"/>
      <c r="E301" s="36"/>
      <c r="F301" s="37">
        <f>F300*1.1</f>
        <v>39.09313725490196</v>
      </c>
      <c r="G301" s="38"/>
    </row>
    <row r="302" spans="1:7" ht="15">
      <c r="A302" s="43" t="s">
        <v>33</v>
      </c>
      <c r="B302" s="44"/>
      <c r="C302" s="44"/>
      <c r="D302" s="44"/>
      <c r="E302" s="45"/>
      <c r="F302" s="37">
        <f>ROUNDUP(F301,-1)</f>
        <v>40</v>
      </c>
      <c r="G302" s="38"/>
    </row>
    <row r="303" spans="1:7" ht="15">
      <c r="A303" s="36" t="s">
        <v>277</v>
      </c>
      <c r="B303" s="36"/>
      <c r="C303" s="36"/>
      <c r="D303" s="36"/>
      <c r="E303" s="36"/>
      <c r="F303" s="37">
        <f>F296+F297</f>
        <v>4</v>
      </c>
      <c r="G303" s="38"/>
    </row>
    <row r="304" spans="1:7" ht="15">
      <c r="A304" s="36" t="s">
        <v>224</v>
      </c>
      <c r="B304" s="36"/>
      <c r="C304" s="36"/>
      <c r="D304" s="36"/>
      <c r="E304" s="36"/>
      <c r="F304" s="40">
        <v>0.75</v>
      </c>
      <c r="G304" s="38" t="s">
        <v>135</v>
      </c>
    </row>
    <row r="305" spans="1:9" ht="15">
      <c r="A305" s="36" t="s">
        <v>226</v>
      </c>
      <c r="B305" s="36"/>
      <c r="C305" s="36"/>
      <c r="D305" s="36"/>
      <c r="E305" s="36"/>
      <c r="F305" s="42">
        <f>(F294/1000)/F304</f>
        <v>0.38666666666666666</v>
      </c>
      <c r="G305" s="38" t="s">
        <v>131</v>
      </c>
      <c r="I305" s="17"/>
    </row>
    <row r="306" spans="1:7" ht="15">
      <c r="A306" s="36" t="s">
        <v>225</v>
      </c>
      <c r="B306" s="36"/>
      <c r="C306" s="36"/>
      <c r="D306" s="36"/>
      <c r="E306" s="36"/>
      <c r="F306" s="42">
        <f>(F305/0.785)^0.5</f>
        <v>0.7018326026362285</v>
      </c>
      <c r="G306" s="38" t="s">
        <v>102</v>
      </c>
    </row>
    <row r="307" spans="1:7" ht="15">
      <c r="A307" s="36" t="s">
        <v>33</v>
      </c>
      <c r="B307" s="36"/>
      <c r="C307" s="36"/>
      <c r="D307" s="36"/>
      <c r="E307" s="36"/>
      <c r="F307" s="40">
        <v>750</v>
      </c>
      <c r="G307" s="38" t="s">
        <v>12</v>
      </c>
    </row>
    <row r="308" spans="1:7" ht="15">
      <c r="A308" s="36" t="s">
        <v>227</v>
      </c>
      <c r="B308" s="36"/>
      <c r="C308" s="36"/>
      <c r="D308" s="36"/>
      <c r="E308" s="36"/>
      <c r="F308" s="38">
        <v>2.25</v>
      </c>
      <c r="G308" s="38" t="s">
        <v>135</v>
      </c>
    </row>
    <row r="309" spans="1:7" ht="15">
      <c r="A309" s="36" t="s">
        <v>228</v>
      </c>
      <c r="B309" s="36"/>
      <c r="C309" s="36"/>
      <c r="D309" s="36"/>
      <c r="E309" s="36"/>
      <c r="F309" s="37">
        <f>(((F298/1000)/F308)/0.785)^0.5</f>
        <v>0.28652196021804394</v>
      </c>
      <c r="G309" s="38" t="s">
        <v>102</v>
      </c>
    </row>
    <row r="310" spans="1:7" ht="15">
      <c r="A310" s="36" t="s">
        <v>33</v>
      </c>
      <c r="B310" s="36"/>
      <c r="C310" s="36"/>
      <c r="D310" s="36"/>
      <c r="E310" s="36"/>
      <c r="F310" s="40">
        <v>300</v>
      </c>
      <c r="G310" s="38" t="s">
        <v>12</v>
      </c>
    </row>
    <row r="311" spans="1:7" ht="15">
      <c r="A311" s="36" t="s">
        <v>229</v>
      </c>
      <c r="B311" s="36"/>
      <c r="C311" s="36"/>
      <c r="D311" s="36"/>
      <c r="E311" s="36"/>
      <c r="F311" s="40">
        <v>250</v>
      </c>
      <c r="G311" s="38" t="s">
        <v>12</v>
      </c>
    </row>
    <row r="312" spans="1:7" ht="15.75">
      <c r="A312" s="18" t="s">
        <v>230</v>
      </c>
      <c r="B312" s="19"/>
      <c r="C312" s="19"/>
      <c r="D312" s="19"/>
      <c r="E312" s="19"/>
      <c r="F312" s="19"/>
      <c r="G312" s="19"/>
    </row>
    <row r="313" spans="1:7" ht="15">
      <c r="A313" s="52" t="s">
        <v>231</v>
      </c>
      <c r="B313" s="52"/>
      <c r="C313" s="52"/>
      <c r="D313" s="52"/>
      <c r="E313" s="52"/>
      <c r="F313" s="177">
        <f>F7</f>
        <v>25</v>
      </c>
      <c r="G313" s="177" t="s">
        <v>3</v>
      </c>
    </row>
    <row r="314" spans="1:7" ht="15">
      <c r="A314" s="52" t="s">
        <v>233</v>
      </c>
      <c r="B314" s="52"/>
      <c r="C314" s="52"/>
      <c r="D314" s="52"/>
      <c r="E314" s="52"/>
      <c r="F314" s="178">
        <v>30</v>
      </c>
      <c r="G314" s="177" t="s">
        <v>232</v>
      </c>
    </row>
    <row r="315" spans="1:7" ht="15" customHeight="1">
      <c r="A315" s="52" t="s">
        <v>234</v>
      </c>
      <c r="B315" s="52"/>
      <c r="C315" s="52"/>
      <c r="D315" s="52"/>
      <c r="E315" s="52"/>
      <c r="F315" s="179">
        <f>F313*1000/((60/F314)*24)</f>
        <v>520.8333333333334</v>
      </c>
      <c r="G315" s="177" t="s">
        <v>122</v>
      </c>
    </row>
    <row r="316" spans="1:7" ht="15">
      <c r="A316" s="52" t="s">
        <v>278</v>
      </c>
      <c r="B316" s="52"/>
      <c r="C316" s="52"/>
      <c r="D316" s="52"/>
      <c r="E316" s="52"/>
      <c r="F316" s="180">
        <v>4</v>
      </c>
      <c r="G316" s="177" t="s">
        <v>102</v>
      </c>
    </row>
    <row r="317" spans="1:7" ht="15">
      <c r="A317" s="52" t="s">
        <v>279</v>
      </c>
      <c r="B317" s="52"/>
      <c r="C317" s="52"/>
      <c r="D317" s="52"/>
      <c r="E317" s="52"/>
      <c r="F317" s="181">
        <f>(F315/(0.785*F316))^0.5</f>
        <v>12.87907171820693</v>
      </c>
      <c r="G317" s="177" t="s">
        <v>102</v>
      </c>
    </row>
    <row r="318" spans="1:7" ht="15">
      <c r="A318" s="52" t="s">
        <v>280</v>
      </c>
      <c r="B318" s="52"/>
      <c r="C318" s="52"/>
      <c r="D318" s="52"/>
      <c r="E318" s="52"/>
      <c r="F318" s="181">
        <f>ROUNDUP(F317,0)</f>
        <v>13</v>
      </c>
      <c r="G318" s="177" t="s">
        <v>102</v>
      </c>
    </row>
    <row r="319" spans="1:7" ht="15">
      <c r="A319" s="52" t="s">
        <v>235</v>
      </c>
      <c r="B319" s="52"/>
      <c r="C319" s="52"/>
      <c r="D319" s="52"/>
      <c r="E319" s="52"/>
      <c r="F319" s="179">
        <f>0.785*F318*F318*F316</f>
        <v>530.66</v>
      </c>
      <c r="G319" s="177" t="s">
        <v>122</v>
      </c>
    </row>
    <row r="320" spans="1:7" ht="16.5" customHeight="1">
      <c r="A320" s="18" t="s">
        <v>132</v>
      </c>
      <c r="B320" s="19"/>
      <c r="C320" s="19"/>
      <c r="D320" s="19"/>
      <c r="E320" s="19"/>
      <c r="F320" s="19"/>
      <c r="G320" s="19"/>
    </row>
    <row r="321" spans="1:7" ht="18">
      <c r="A321" s="36" t="s">
        <v>217</v>
      </c>
      <c r="B321" s="36"/>
      <c r="C321" s="36"/>
      <c r="D321" s="36"/>
      <c r="E321" s="36"/>
      <c r="F321" s="37">
        <f>(LOG10(F186))^0.5-1</f>
        <v>1.1581456702015926</v>
      </c>
      <c r="G321" s="38"/>
    </row>
    <row r="322" spans="1:7" ht="28.5" customHeight="1">
      <c r="A322" s="39" t="s">
        <v>218</v>
      </c>
      <c r="B322" s="39"/>
      <c r="C322" s="39"/>
      <c r="D322" s="39"/>
      <c r="E322" s="39"/>
      <c r="F322" s="37">
        <f>(0.0026*((9.81*(F181-5))/(5.13^2))^0.47)*((5.13*5.13)/9.81)</f>
        <v>0.06336142281297838</v>
      </c>
      <c r="G322" s="38"/>
    </row>
    <row r="323" spans="1:7" ht="16.5" customHeight="1">
      <c r="A323" s="18" t="s">
        <v>219</v>
      </c>
      <c r="B323" s="19"/>
      <c r="C323" s="19"/>
      <c r="D323" s="19"/>
      <c r="E323" s="19"/>
      <c r="F323" s="19"/>
      <c r="G323" s="19"/>
    </row>
    <row r="324" spans="1:7" ht="15">
      <c r="A324" s="36" t="s">
        <v>220</v>
      </c>
      <c r="B324" s="36"/>
      <c r="C324" s="36"/>
      <c r="D324" s="36"/>
      <c r="E324" s="36"/>
      <c r="F324" s="49">
        <f>(5*(10^7))/((1+F325*2)*(1+F325*6))</f>
        <v>2798412.945668425</v>
      </c>
      <c r="G324" s="38"/>
    </row>
    <row r="325" spans="1:7" ht="15">
      <c r="A325" s="36" t="s">
        <v>221</v>
      </c>
      <c r="B325" s="36"/>
      <c r="C325" s="36"/>
      <c r="D325" s="36"/>
      <c r="E325" s="36"/>
      <c r="F325" s="42">
        <f>2.6*(1.19^(13.89-20))</f>
        <v>0.8982172966527986</v>
      </c>
      <c r="G325" s="38"/>
    </row>
    <row r="326" spans="1:7" ht="16.5" customHeight="1">
      <c r="A326" s="18" t="s">
        <v>222</v>
      </c>
      <c r="B326" s="19"/>
      <c r="C326" s="19"/>
      <c r="D326" s="19"/>
      <c r="E326" s="19"/>
      <c r="F326" s="19"/>
      <c r="G326" s="19"/>
    </row>
    <row r="327" spans="1:7" ht="15">
      <c r="A327" s="36" t="s">
        <v>223</v>
      </c>
      <c r="B327" s="36"/>
      <c r="C327" s="36"/>
      <c r="D327" s="36"/>
      <c r="E327" s="36"/>
      <c r="F327" s="37">
        <f>100*(1-0.14*(EXP(-0.38*8)))</f>
        <v>99.33031154708122</v>
      </c>
      <c r="G327" s="38" t="s">
        <v>51</v>
      </c>
    </row>
    <row r="328" spans="1:7" ht="15">
      <c r="A328" s="36" t="s">
        <v>281</v>
      </c>
      <c r="B328" s="36"/>
      <c r="C328" s="36"/>
      <c r="D328" s="36"/>
      <c r="E328" s="36"/>
      <c r="F328" s="40">
        <v>98.6</v>
      </c>
      <c r="G328" s="38" t="s">
        <v>51</v>
      </c>
    </row>
    <row r="329" spans="1:5" ht="15">
      <c r="A329" s="14"/>
      <c r="B329" s="14"/>
      <c r="C329" s="14"/>
      <c r="D329" s="14"/>
      <c r="E329" s="14"/>
    </row>
    <row r="330" spans="1:5" ht="15">
      <c r="A330" s="14"/>
      <c r="B330" s="14"/>
      <c r="C330" s="14"/>
      <c r="D330" s="14"/>
      <c r="E330" s="14"/>
    </row>
    <row r="331" spans="1:5" ht="15">
      <c r="A331" s="14"/>
      <c r="B331" s="14"/>
      <c r="C331" s="14"/>
      <c r="D331" s="14"/>
      <c r="E331" s="14"/>
    </row>
    <row r="332" spans="1:5" ht="15">
      <c r="A332" s="14"/>
      <c r="B332" s="14"/>
      <c r="C332" s="14"/>
      <c r="D332" s="14"/>
      <c r="E332" s="14"/>
    </row>
    <row r="333" spans="1:5" ht="15">
      <c r="A333" s="14"/>
      <c r="B333" s="14"/>
      <c r="C333" s="14"/>
      <c r="D333" s="14"/>
      <c r="E333" s="14"/>
    </row>
    <row r="334" spans="1:5" ht="15">
      <c r="A334" s="14"/>
      <c r="B334" s="14"/>
      <c r="C334" s="14"/>
      <c r="D334" s="14"/>
      <c r="E334" s="14"/>
    </row>
    <row r="335" spans="1:5" ht="15">
      <c r="A335" s="14"/>
      <c r="B335" s="14"/>
      <c r="C335" s="14"/>
      <c r="D335" s="14"/>
      <c r="E335" s="14"/>
    </row>
    <row r="336" spans="1:5" ht="15">
      <c r="A336" s="14"/>
      <c r="B336" s="14"/>
      <c r="C336" s="14"/>
      <c r="D336" s="14"/>
      <c r="E336" s="14"/>
    </row>
  </sheetData>
  <sheetProtection/>
  <mergeCells count="326">
    <mergeCell ref="A302:E302"/>
    <mergeCell ref="A224:E224"/>
    <mergeCell ref="A236:E236"/>
    <mergeCell ref="A237:E237"/>
    <mergeCell ref="A238:E238"/>
    <mergeCell ref="A215:E215"/>
    <mergeCell ref="A218:E218"/>
    <mergeCell ref="A2:C2"/>
    <mergeCell ref="A3:G3"/>
    <mergeCell ref="A8:B8"/>
    <mergeCell ref="A87:C87"/>
    <mergeCell ref="A94:E94"/>
    <mergeCell ref="A109:E109"/>
    <mergeCell ref="A110:E110"/>
    <mergeCell ref="A179:B179"/>
    <mergeCell ref="A209:E209"/>
    <mergeCell ref="A210:E210"/>
    <mergeCell ref="A211:E211"/>
    <mergeCell ref="A214:E214"/>
    <mergeCell ref="A107:E107"/>
    <mergeCell ref="A108:E108"/>
    <mergeCell ref="A122:E122"/>
    <mergeCell ref="A128:E128"/>
    <mergeCell ref="A139:E139"/>
    <mergeCell ref="A212:E212"/>
    <mergeCell ref="A202:E202"/>
    <mergeCell ref="A205:E205"/>
    <mergeCell ref="A206:E206"/>
    <mergeCell ref="A207:E207"/>
    <mergeCell ref="A208:G208"/>
    <mergeCell ref="A177:E177"/>
    <mergeCell ref="A216:E216"/>
    <mergeCell ref="A68:E68"/>
    <mergeCell ref="A71:E71"/>
    <mergeCell ref="A72:E72"/>
    <mergeCell ref="A73:E73"/>
    <mergeCell ref="A199:E199"/>
    <mergeCell ref="A200:C200"/>
    <mergeCell ref="A192:E192"/>
    <mergeCell ref="A167:E167"/>
    <mergeCell ref="A133:E133"/>
    <mergeCell ref="A169:E169"/>
    <mergeCell ref="A170:C170"/>
    <mergeCell ref="A171:E171"/>
    <mergeCell ref="A172:E172"/>
    <mergeCell ref="A173:E173"/>
    <mergeCell ref="A168:E168"/>
    <mergeCell ref="A138:E138"/>
    <mergeCell ref="A140:E140"/>
    <mergeCell ref="A143:E143"/>
    <mergeCell ref="A119:E119"/>
    <mergeCell ref="A178:E178"/>
    <mergeCell ref="A129:E129"/>
    <mergeCell ref="A130:E130"/>
    <mergeCell ref="A131:E131"/>
    <mergeCell ref="A132:E132"/>
    <mergeCell ref="A62:C62"/>
    <mergeCell ref="A63:C63"/>
    <mergeCell ref="A64:E64"/>
    <mergeCell ref="A65:E65"/>
    <mergeCell ref="A69:E69"/>
    <mergeCell ref="A118:F118"/>
    <mergeCell ref="A67:E67"/>
    <mergeCell ref="A66:E66"/>
    <mergeCell ref="A135:E135"/>
    <mergeCell ref="A123:E123"/>
    <mergeCell ref="A124:E124"/>
    <mergeCell ref="A125:E125"/>
    <mergeCell ref="A126:E126"/>
    <mergeCell ref="A127:E127"/>
    <mergeCell ref="A117:B117"/>
    <mergeCell ref="A134:E134"/>
    <mergeCell ref="A201:G201"/>
    <mergeCell ref="A120:E120"/>
    <mergeCell ref="A121:E121"/>
    <mergeCell ref="A111:D111"/>
    <mergeCell ref="A113:E113"/>
    <mergeCell ref="E111:G111"/>
    <mergeCell ref="A137:E137"/>
    <mergeCell ref="A136:E136"/>
    <mergeCell ref="A193:E193"/>
    <mergeCell ref="A190:E190"/>
    <mergeCell ref="A191:E191"/>
    <mergeCell ref="A180:E180"/>
    <mergeCell ref="A181:E181"/>
    <mergeCell ref="A182:E182"/>
    <mergeCell ref="A183:E183"/>
    <mergeCell ref="A185:E185"/>
    <mergeCell ref="A184:E184"/>
    <mergeCell ref="A53:E53"/>
    <mergeCell ref="A56:E56"/>
    <mergeCell ref="A195:E195"/>
    <mergeCell ref="A196:E196"/>
    <mergeCell ref="A197:E197"/>
    <mergeCell ref="A186:B186"/>
    <mergeCell ref="A187:E187"/>
    <mergeCell ref="A188:E188"/>
    <mergeCell ref="A189:C189"/>
    <mergeCell ref="A194:E194"/>
    <mergeCell ref="A165:E165"/>
    <mergeCell ref="A148:E148"/>
    <mergeCell ref="A149:E149"/>
    <mergeCell ref="A150:E150"/>
    <mergeCell ref="A151:E151"/>
    <mergeCell ref="A155:E155"/>
    <mergeCell ref="A154:E154"/>
    <mergeCell ref="A145:G145"/>
    <mergeCell ref="A57:E57"/>
    <mergeCell ref="A58:E58"/>
    <mergeCell ref="A49:G49"/>
    <mergeCell ref="A162:B162"/>
    <mergeCell ref="A59:E59"/>
    <mergeCell ref="A60:E60"/>
    <mergeCell ref="A50:B50"/>
    <mergeCell ref="A51:E51"/>
    <mergeCell ref="A141:E141"/>
    <mergeCell ref="A142:E142"/>
    <mergeCell ref="A144:F144"/>
    <mergeCell ref="A152:E152"/>
    <mergeCell ref="A153:E153"/>
    <mergeCell ref="A160:E160"/>
    <mergeCell ref="A161:G161"/>
    <mergeCell ref="A158:E158"/>
    <mergeCell ref="A159:E159"/>
    <mergeCell ref="A157:D157"/>
    <mergeCell ref="A156:E156"/>
    <mergeCell ref="A115:E115"/>
    <mergeCell ref="A116:E116"/>
    <mergeCell ref="A102:G102"/>
    <mergeCell ref="A103:E103"/>
    <mergeCell ref="A105:G105"/>
    <mergeCell ref="A106:E106"/>
    <mergeCell ref="A104:E104"/>
    <mergeCell ref="A98:C98"/>
    <mergeCell ref="A99:E99"/>
    <mergeCell ref="A100:E100"/>
    <mergeCell ref="A101:E101"/>
    <mergeCell ref="A88:E88"/>
    <mergeCell ref="A89:D89"/>
    <mergeCell ref="A91:E91"/>
    <mergeCell ref="A92:E92"/>
    <mergeCell ref="A93:E93"/>
    <mergeCell ref="A96:E96"/>
    <mergeCell ref="A97:E97"/>
    <mergeCell ref="A81:E81"/>
    <mergeCell ref="A82:F82"/>
    <mergeCell ref="A83:G83"/>
    <mergeCell ref="A84:E84"/>
    <mergeCell ref="A85:B85"/>
    <mergeCell ref="A95:E95"/>
    <mergeCell ref="A78:C78"/>
    <mergeCell ref="A79:G79"/>
    <mergeCell ref="A80:E80"/>
    <mergeCell ref="A74:E74"/>
    <mergeCell ref="A75:E75"/>
    <mergeCell ref="A77:G77"/>
    <mergeCell ref="A26:C26"/>
    <mergeCell ref="A30:E30"/>
    <mergeCell ref="A27:C27"/>
    <mergeCell ref="A28:B28"/>
    <mergeCell ref="A70:C70"/>
    <mergeCell ref="A76:E76"/>
    <mergeCell ref="A52:E52"/>
    <mergeCell ref="A55:E55"/>
    <mergeCell ref="A54:E54"/>
    <mergeCell ref="A16:E16"/>
    <mergeCell ref="A17:E17"/>
    <mergeCell ref="A21:E21"/>
    <mergeCell ref="A22:E22"/>
    <mergeCell ref="A1:G1"/>
    <mergeCell ref="A4:E4"/>
    <mergeCell ref="A5:E5"/>
    <mergeCell ref="A6:E6"/>
    <mergeCell ref="A7:B7"/>
    <mergeCell ref="A11:B11"/>
    <mergeCell ref="A18:E18"/>
    <mergeCell ref="A13:G13"/>
    <mergeCell ref="A14:E14"/>
    <mergeCell ref="A15:E15"/>
    <mergeCell ref="A243:E243"/>
    <mergeCell ref="A226:E226"/>
    <mergeCell ref="A227:E227"/>
    <mergeCell ref="A228:E228"/>
    <mergeCell ref="A229:E229"/>
    <mergeCell ref="A221:E221"/>
    <mergeCell ref="A235:E235"/>
    <mergeCell ref="A240:E240"/>
    <mergeCell ref="A241:E241"/>
    <mergeCell ref="A242:E242"/>
    <mergeCell ref="A222:E222"/>
    <mergeCell ref="A223:E223"/>
    <mergeCell ref="A265:E265"/>
    <mergeCell ref="A260:G260"/>
    <mergeCell ref="A257:E257"/>
    <mergeCell ref="A258:E258"/>
    <mergeCell ref="A259:E259"/>
    <mergeCell ref="A244:E244"/>
    <mergeCell ref="A247:E247"/>
    <mergeCell ref="A250:E250"/>
    <mergeCell ref="A246:G246"/>
    <mergeCell ref="A254:G254"/>
    <mergeCell ref="A230:E230"/>
    <mergeCell ref="A232:E232"/>
    <mergeCell ref="A225:G225"/>
    <mergeCell ref="A231:G231"/>
    <mergeCell ref="A239:G239"/>
    <mergeCell ref="A249:E249"/>
    <mergeCell ref="A251:E251"/>
    <mergeCell ref="A252:E252"/>
    <mergeCell ref="A253:E253"/>
    <mergeCell ref="A255:E255"/>
    <mergeCell ref="A256:E256"/>
    <mergeCell ref="A296:E296"/>
    <mergeCell ref="A297:E297"/>
    <mergeCell ref="A298:E298"/>
    <mergeCell ref="A289:E289"/>
    <mergeCell ref="A290:E290"/>
    <mergeCell ref="A266:E266"/>
    <mergeCell ref="A299:E299"/>
    <mergeCell ref="A300:E300"/>
    <mergeCell ref="A279:E279"/>
    <mergeCell ref="A293:E293"/>
    <mergeCell ref="A303:E303"/>
    <mergeCell ref="A284:E284"/>
    <mergeCell ref="A285:E285"/>
    <mergeCell ref="A286:E286"/>
    <mergeCell ref="A287:E287"/>
    <mergeCell ref="A288:E288"/>
    <mergeCell ref="A281:E281"/>
    <mergeCell ref="A282:E282"/>
    <mergeCell ref="A283:E283"/>
    <mergeCell ref="A292:E292"/>
    <mergeCell ref="A295:E295"/>
    <mergeCell ref="A294:E294"/>
    <mergeCell ref="A320:G320"/>
    <mergeCell ref="A323:G323"/>
    <mergeCell ref="A321:E321"/>
    <mergeCell ref="A322:E322"/>
    <mergeCell ref="A324:E324"/>
    <mergeCell ref="A325:E325"/>
    <mergeCell ref="A327:E327"/>
    <mergeCell ref="A328:E328"/>
    <mergeCell ref="A326:G326"/>
    <mergeCell ref="A268:G268"/>
    <mergeCell ref="A276:G276"/>
    <mergeCell ref="A291:G291"/>
    <mergeCell ref="A277:E277"/>
    <mergeCell ref="A278:E278"/>
    <mergeCell ref="A275:E275"/>
    <mergeCell ref="A313:E313"/>
    <mergeCell ref="A48:E48"/>
    <mergeCell ref="A44:E44"/>
    <mergeCell ref="A45:E45"/>
    <mergeCell ref="A267:E267"/>
    <mergeCell ref="A269:E269"/>
    <mergeCell ref="A271:E271"/>
    <mergeCell ref="A261:E261"/>
    <mergeCell ref="A263:E263"/>
    <mergeCell ref="A264:E264"/>
    <mergeCell ref="A245:E245"/>
    <mergeCell ref="A19:E19"/>
    <mergeCell ref="A20:E20"/>
    <mergeCell ref="A43:E43"/>
    <mergeCell ref="A42:E42"/>
    <mergeCell ref="A46:E46"/>
    <mergeCell ref="A47:E47"/>
    <mergeCell ref="A35:B35"/>
    <mergeCell ref="A23:D23"/>
    <mergeCell ref="A24:B24"/>
    <mergeCell ref="A25:E25"/>
    <mergeCell ref="A37:E37"/>
    <mergeCell ref="A38:E38"/>
    <mergeCell ref="A39:E39"/>
    <mergeCell ref="A32:E32"/>
    <mergeCell ref="A33:E33"/>
    <mergeCell ref="A34:B34"/>
    <mergeCell ref="A112:E112"/>
    <mergeCell ref="A314:E314"/>
    <mergeCell ref="A315:E315"/>
    <mergeCell ref="A317:E317"/>
    <mergeCell ref="A319:E319"/>
    <mergeCell ref="A304:E304"/>
    <mergeCell ref="A305:E305"/>
    <mergeCell ref="A306:E306"/>
    <mergeCell ref="A307:E307"/>
    <mergeCell ref="A308:E308"/>
    <mergeCell ref="A9:B9"/>
    <mergeCell ref="C9:D9"/>
    <mergeCell ref="A10:B10"/>
    <mergeCell ref="A12:B12"/>
    <mergeCell ref="A29:E29"/>
    <mergeCell ref="A61:E61"/>
    <mergeCell ref="A36:E36"/>
    <mergeCell ref="A41:E41"/>
    <mergeCell ref="A40:E40"/>
    <mergeCell ref="A31:E31"/>
    <mergeCell ref="A316:E316"/>
    <mergeCell ref="A318:E318"/>
    <mergeCell ref="A166:E166"/>
    <mergeCell ref="A174:E174"/>
    <mergeCell ref="A175:E175"/>
    <mergeCell ref="A176:E176"/>
    <mergeCell ref="A310:E310"/>
    <mergeCell ref="A311:E311"/>
    <mergeCell ref="A312:G312"/>
    <mergeCell ref="A309:E309"/>
    <mergeCell ref="A233:E233"/>
    <mergeCell ref="A234:E234"/>
    <mergeCell ref="A248:E248"/>
    <mergeCell ref="A262:E262"/>
    <mergeCell ref="A270:E270"/>
    <mergeCell ref="A301:E301"/>
    <mergeCell ref="A272:E272"/>
    <mergeCell ref="A273:E273"/>
    <mergeCell ref="A274:E274"/>
    <mergeCell ref="A280:E280"/>
    <mergeCell ref="A147:E147"/>
    <mergeCell ref="A146:E146"/>
    <mergeCell ref="A203:E203"/>
    <mergeCell ref="A204:E204"/>
    <mergeCell ref="A219:E219"/>
    <mergeCell ref="A220:E220"/>
    <mergeCell ref="A217:G217"/>
    <mergeCell ref="A213:E213"/>
    <mergeCell ref="A164:E164"/>
    <mergeCell ref="A163:E1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</dc:creator>
  <cp:keywords/>
  <dc:description/>
  <cp:lastModifiedBy>IBM</cp:lastModifiedBy>
  <dcterms:created xsi:type="dcterms:W3CDTF">2009-06-05T11:41:03Z</dcterms:created>
  <dcterms:modified xsi:type="dcterms:W3CDTF">2010-08-29T13:17:18Z</dcterms:modified>
  <cp:category/>
  <cp:version/>
  <cp:contentType/>
  <cp:contentStatus/>
</cp:coreProperties>
</file>